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firstSheet="5" activeTab="9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  <sheet name="Esercizio 8" sheetId="8" r:id="rId8"/>
    <sheet name="Esercizio 9" sheetId="9" r:id="rId9"/>
    <sheet name="Esercizio 10" sheetId="10" r:id="rId10"/>
  </sheets>
  <definedNames>
    <definedName name="_xlnm.Print_Area" localSheetId="0">'Esercizio 1'!$A$1:$K$79</definedName>
  </definedNames>
  <calcPr fullCalcOnLoad="1"/>
</workbook>
</file>

<file path=xl/sharedStrings.xml><?xml version="1.0" encoding="utf-8"?>
<sst xmlns="http://schemas.openxmlformats.org/spreadsheetml/2006/main" count="1090" uniqueCount="326">
  <si>
    <t>T1</t>
  </si>
  <si>
    <t>T2</t>
  </si>
  <si>
    <r>
      <t>m</t>
    </r>
    <r>
      <rPr>
        <vertAlign val="subscript"/>
        <sz val="12"/>
        <color indexed="8"/>
        <rFont val="Calibri"/>
        <family val="0"/>
      </rPr>
      <t>a2</t>
    </r>
  </si>
  <si>
    <t>Esercizio 1</t>
  </si>
  <si>
    <t>Mescolamento adiabatico e raffreddamento semplice</t>
  </si>
  <si>
    <t>Proprietà della portata d'aria in ingresso 1</t>
  </si>
  <si>
    <r>
      <t>UR</t>
    </r>
    <r>
      <rPr>
        <vertAlign val="subscript"/>
        <sz val="12"/>
        <color indexed="8"/>
        <rFont val="Calibri"/>
        <family val="0"/>
      </rPr>
      <t>1</t>
    </r>
  </si>
  <si>
    <r>
      <t>T</t>
    </r>
    <r>
      <rPr>
        <vertAlign val="subscript"/>
        <sz val="12"/>
        <color indexed="8"/>
        <rFont val="Calibri"/>
        <family val="0"/>
      </rPr>
      <t>1</t>
    </r>
  </si>
  <si>
    <t>Proprietà della portata d'aria in ingresso 2</t>
  </si>
  <si>
    <r>
      <t>UR</t>
    </r>
    <r>
      <rPr>
        <vertAlign val="subscript"/>
        <sz val="12"/>
        <color indexed="8"/>
        <rFont val="Calibri"/>
        <family val="0"/>
      </rPr>
      <t>2</t>
    </r>
  </si>
  <si>
    <r>
      <t>T</t>
    </r>
    <r>
      <rPr>
        <vertAlign val="subscript"/>
        <sz val="12"/>
        <color indexed="8"/>
        <rFont val="Calibri"/>
        <family val="0"/>
      </rPr>
      <t>2</t>
    </r>
  </si>
  <si>
    <r>
      <t>v</t>
    </r>
    <r>
      <rPr>
        <vertAlign val="subscript"/>
        <sz val="12"/>
        <color indexed="8"/>
        <rFont val="Calibri"/>
        <family val="0"/>
      </rPr>
      <t>1</t>
    </r>
  </si>
  <si>
    <r>
      <t>v</t>
    </r>
    <r>
      <rPr>
        <vertAlign val="subscript"/>
        <sz val="12"/>
        <color indexed="8"/>
        <rFont val="Calibri"/>
        <family val="0"/>
      </rPr>
      <t>2</t>
    </r>
  </si>
  <si>
    <t>15°C</t>
  </si>
  <si>
    <t>m3/kg</t>
  </si>
  <si>
    <t>da leggere o interpolare</t>
  </si>
  <si>
    <t>kg/s</t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</si>
  <si>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/kg</t>
    </r>
  </si>
  <si>
    <t>Dall'interpolazione lineare tra v=0,82 e v= 0,84 (T1=13°C e T=18°C ) risulta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</si>
  <si>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</si>
  <si>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</si>
  <si>
    <t>h1</t>
  </si>
  <si>
    <r>
      <t>h</t>
    </r>
    <r>
      <rPr>
        <vertAlign val="subscript"/>
        <sz val="12"/>
        <color indexed="8"/>
        <rFont val="Calibri"/>
        <family val="0"/>
      </rPr>
      <t>1</t>
    </r>
  </si>
  <si>
    <r>
      <t>h</t>
    </r>
    <r>
      <rPr>
        <vertAlign val="subscript"/>
        <sz val="12"/>
        <color indexed="8"/>
        <rFont val="Calibri"/>
        <family val="0"/>
      </rPr>
      <t>2</t>
    </r>
  </si>
  <si>
    <t>g/kg</t>
  </si>
  <si>
    <t>kJ/kg</t>
  </si>
  <si>
    <t>Bilancio di massa dell'aria secca</t>
  </si>
  <si>
    <t>Bilancio di entalpia</t>
  </si>
  <si>
    <r>
      <rPr>
        <sz val="12"/>
        <color theme="1"/>
        <rFont val="Calibri"/>
        <family val="2"/>
      </rPr>
      <t>Bilancio di massa del vapore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</si>
  <si>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</si>
  <si>
    <t xml:space="preserve">Calcolo le proprietà della corrente d'aria umida risultante in uscita dalla sezione di mescolamento adiabatico, attraverso i bilanci di massa e di energia tra la sezione di ingresso e la sezione di uscita </t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</si>
  <si>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</si>
  <si>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</si>
  <si>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</si>
  <si>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</si>
  <si>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/h</t>
    </r>
  </si>
  <si>
    <t xml:space="preserve">da cui ricavo la portata massica </t>
  </si>
  <si>
    <r>
      <t>V</t>
    </r>
    <r>
      <rPr>
        <vertAlign val="subscript"/>
        <sz val="12"/>
        <color indexed="8"/>
        <rFont val="Calibri"/>
        <family val="0"/>
      </rPr>
      <t>a1</t>
    </r>
  </si>
  <si>
    <r>
      <t>V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</si>
  <si>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=</t>
    </r>
  </si>
  <si>
    <r>
      <t>V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0"/>
      </rPr>
      <t>a1</t>
    </r>
  </si>
  <si>
    <r>
      <t>V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/v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</si>
  <si>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=</t>
    </r>
  </si>
  <si>
    <t>Per determinare v2 utilizzo il diagramma psicrometrico (stima approssimativa)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</si>
  <si>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=m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</si>
  <si>
    <t>Leggo i valori di umidità specifica dal diagramma psicrometrico</t>
  </si>
  <si>
    <t>Leggo i valori di entalpia specifica dal diagramma psicrometrico</t>
  </si>
  <si>
    <r>
      <t>Essendo la portata 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 xml:space="preserve"> maggiore di 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, il punto 3 rappresentativo della corrente risultante è più vicino al punto 1, rappresentativo della corrente di massa m</t>
    </r>
    <r>
      <rPr>
        <vertAlign val="subscript"/>
        <sz val="12"/>
        <color indexed="8"/>
        <rFont val="Calibri"/>
        <family val="0"/>
      </rPr>
      <t>a1</t>
    </r>
  </si>
  <si>
    <t>MESCOLAMENTO ADIABATICO</t>
  </si>
  <si>
    <t xml:space="preserve"> 3-4</t>
  </si>
  <si>
    <t>La portata ma3 deve essere raffreddata sino a raggiungere le condizioni di saturazione (UR = 100%) - punto 4</t>
  </si>
  <si>
    <t>Trattandosi di raffreddamento semplice l'umidità specifica si mantiene costante. Imposto i bilanci di massa e di energia: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</si>
  <si>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</si>
  <si>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da cui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</si>
  <si>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</si>
  <si>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</si>
  <si>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</t>
    </r>
  </si>
  <si>
    <t>quindi indico le masse con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</si>
  <si>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</si>
  <si>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)</t>
    </r>
  </si>
  <si>
    <t>Leggo h4 dal diagramma psicrometrico</t>
  </si>
  <si>
    <r>
      <t>h</t>
    </r>
    <r>
      <rPr>
        <vertAlign val="subscript"/>
        <sz val="12"/>
        <color indexed="8"/>
        <rFont val="Calibri"/>
        <family val="0"/>
      </rPr>
      <t>4</t>
    </r>
  </si>
  <si>
    <t>SI osserva che l'approssimazione è accettabile. Infatti applicando l'equazione dell'entalpia si ha:</t>
  </si>
  <si>
    <r>
      <t>h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</si>
  <si>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>vedi lezione aria umida</t>
  </si>
  <si>
    <t>Ricavo quindi Q</t>
  </si>
  <si>
    <t>Ovviamente risulta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</si>
  <si>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</si>
  <si>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kW</t>
  </si>
  <si>
    <t>Determinare la portata volumetrica nel punto 4</t>
  </si>
  <si>
    <t xml:space="preserve">Dal diagramma si legge </t>
  </si>
  <si>
    <t>T4</t>
  </si>
  <si>
    <t>Devo trovare il volume specifico in 4</t>
  </si>
  <si>
    <t>Esso rappresenta il volume specifico occupato dall'unità di massa di aria secca nel punto 4, cioè quando l'aria umida si è saturata, quindi sarà:</t>
  </si>
  <si>
    <t>Se interpolo tra T=15 (v= 0,83) e T=12,3 (v= 0,82)</t>
  </si>
  <si>
    <r>
      <t>v</t>
    </r>
    <r>
      <rPr>
        <vertAlign val="subscript"/>
        <sz val="12"/>
        <color indexed="8"/>
        <rFont val="Calibri"/>
        <family val="0"/>
      </rPr>
      <t>4</t>
    </r>
  </si>
  <si>
    <t>La portata volumetrica nel punto 4 è</t>
  </si>
  <si>
    <t>che diminuisce rispetto alla portata volumetrica nel punto 3</t>
  </si>
  <si>
    <r>
      <t>m</t>
    </r>
    <r>
      <rPr>
        <vertAlign val="super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/s</t>
    </r>
  </si>
  <si>
    <r>
      <t>T</t>
    </r>
    <r>
      <rPr>
        <vertAlign val="subscript"/>
        <sz val="12"/>
        <color indexed="8"/>
        <rFont val="Calibri"/>
        <family val="0"/>
      </rPr>
      <t>3</t>
    </r>
  </si>
  <si>
    <t>circa 20°C</t>
  </si>
  <si>
    <t>Raffreddamento con deumidificazione e post-riscaldamento</t>
  </si>
  <si>
    <t>Proprietà della portata d'aria in ingresso all'UTA</t>
  </si>
  <si>
    <t>Leggo il valore  di umidità specifica dal diagramma psicrometrico</t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</si>
  <si>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a2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</si>
  <si>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</si>
  <si>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a1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=Q+m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</si>
  <si>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 xml:space="preserve">Calcolo le proprietà della corrente d'aria umida in uscita dalla sezione di raffreddamento, attraverso i bilanci di massa e di energia tra la sezione di ingresso e la sezione di uscita dalla batteria di raffreddamento </t>
  </si>
  <si>
    <t>Calcolare</t>
  </si>
  <si>
    <r>
      <t>m</t>
    </r>
    <r>
      <rPr>
        <vertAlign val="subscript"/>
        <sz val="12"/>
        <color indexed="8"/>
        <rFont val="Calibri"/>
        <family val="0"/>
      </rPr>
      <t>w</t>
    </r>
  </si>
  <si>
    <r>
      <t>Q</t>
    </r>
    <r>
      <rPr>
        <i/>
        <vertAlign val="subscript"/>
        <sz val="12"/>
        <color indexed="8"/>
        <rFont val="Calibri"/>
        <family val="0"/>
      </rPr>
      <t>postrisc</t>
    </r>
  </si>
  <si>
    <r>
      <t>Q</t>
    </r>
    <r>
      <rPr>
        <vertAlign val="subscript"/>
        <sz val="12"/>
        <color indexed="8"/>
        <rFont val="Calibri"/>
        <family val="0"/>
      </rPr>
      <t>raff</t>
    </r>
  </si>
  <si>
    <t>Temperatura della portata d'aria in uscita dalla batteria di post-riscaldamento dell'UTA (punto 3 del diagramma)</t>
  </si>
  <si>
    <t>Temperatura della portata d'aria in uscita dalla batteria di raffreddamento dell'UTA (punto 2 del diagramma)</t>
  </si>
  <si>
    <t>°C</t>
  </si>
  <si>
    <t>Processo di raffreddamento con deumidificazione</t>
  </si>
  <si>
    <t>Intanto dal diagramma leggo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</si>
  <si>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</si>
  <si>
    <r>
      <t>h</t>
    </r>
    <r>
      <rPr>
        <vertAlign val="subscript"/>
        <sz val="12"/>
        <color indexed="8"/>
        <rFont val="Calibri"/>
        <family val="0"/>
      </rPr>
      <t>2</t>
    </r>
  </si>
  <si>
    <t>oppure</t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</si>
  <si>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</si>
  <si>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r>
      <t>Q=</t>
    </r>
    <r>
      <rPr>
        <sz val="12"/>
        <color theme="1"/>
        <rFont val="Calibri"/>
        <family val="2"/>
      </rP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</si>
  <si>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r>
      <t>h</t>
    </r>
    <r>
      <rPr>
        <vertAlign val="subscript"/>
        <sz val="12"/>
        <color indexed="8"/>
        <rFont val="Calibri"/>
        <family val="0"/>
      </rPr>
      <t>w</t>
    </r>
  </si>
  <si>
    <t>Post-riscaldamento 2-3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</si>
  <si>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</si>
  <si>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</si>
  <si>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t>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</t>
    </r>
    <r>
      <rPr>
        <sz val="12"/>
        <color theme="1"/>
        <rFont val="Calibri"/>
        <family val="2"/>
      </rP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(h3-h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</si>
  <si>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 xml:space="preserve">Leggo dal diagramma </t>
  </si>
  <si>
    <r>
      <t>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</si>
  <si>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w1</t>
    </r>
  </si>
  <si>
    <t>Dw</t>
  </si>
  <si>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</si>
  <si>
    <t>kJ/g</t>
  </si>
  <si>
    <t>kJ</t>
  </si>
  <si>
    <t>g</t>
  </si>
  <si>
    <t>Mescolamento adiabatico e riscaldamento con umidificazione</t>
  </si>
  <si>
    <t>5°C</t>
  </si>
  <si>
    <t>dalla lettura</t>
  </si>
  <si>
    <t>circa 9,5°C</t>
  </si>
  <si>
    <t>Imposto i bilanci di massa e di energia: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</si>
  <si>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a4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</si>
  <si>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</t>
    </r>
  </si>
  <si>
    <t>Riscaldmento a T=28°C e umidificazione passando a UR=40%</t>
  </si>
  <si>
    <t>Dal diagramma leggo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</si>
  <si>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</si>
  <si>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t>Dal diagramma leggo:</t>
  </si>
  <si>
    <t>Ovviamente è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</si>
  <si>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</si>
  <si>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)-mwhw</t>
    </r>
  </si>
  <si>
    <t>h2</t>
  </si>
  <si>
    <t>Quindi</t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</si>
  <si>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4-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</si>
  <si>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>Nell'ipotesi di umidificazione con vapore saturo secco, la trasformazione è isoterma a T = 28°C, preceduta da un riscaldamento semplice</t>
  </si>
  <si>
    <t>3-3' e 3'-4</t>
  </si>
  <si>
    <t>Riscaldamento con umidificazione</t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</si>
  <si>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riscaldata e umidificata- punto 4</t>
    </r>
  </si>
  <si>
    <t>Consulto l'apposita tabella A45 pag.A-18 del file "APPENDICE AL CAPITOLO 1 UNITÀ DI MISURA INTERPOLAZIONE LINEARE TABELLE" per leggere hw (hvs) a T=110°C</t>
  </si>
  <si>
    <t>h4-h3</t>
  </si>
  <si>
    <t>28°C</t>
  </si>
  <si>
    <r>
      <t>UR</t>
    </r>
    <r>
      <rPr>
        <vertAlign val="subscript"/>
        <sz val="12"/>
        <color indexed="8"/>
        <rFont val="Calibri"/>
        <family val="0"/>
      </rPr>
      <t>3</t>
    </r>
  </si>
  <si>
    <t>Umidità relativa della portata d'aria in uscita dalla batteria di post-riscaldamento dell'UTA (punto 3 del diagramma)</t>
  </si>
  <si>
    <t>Tr</t>
  </si>
  <si>
    <t>Leggo dal diagramma</t>
  </si>
  <si>
    <t>In condizioni di saturazione (punto 1') la temperatura della corrente d'aria è la temperatura di rugiada nelle condizioni di ingresso (T1=28°C, p=patm)</t>
  </si>
  <si>
    <t>Quindi sul diagramma leggo l'ascissa del punto 1', che rappresenta proprio Tr:</t>
  </si>
  <si>
    <t>Tr= 19,5°C</t>
  </si>
  <si>
    <t>Imposto i bilanci di massa e di energia tra l'ingresso (punto 1) e l'uscita dalla batteria di raffreddamento con deumidificazione (punto 2)</t>
  </si>
  <si>
    <t xml:space="preserve">Per individuare il punto 2, si faccia la considerazione che esso possiede la stessa umidità specifica del punto 3 all'uscita della batteria di post-riscaldamento (punto 3) 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</si>
  <si>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</si>
  <si>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t xml:space="preserve">Quindi </t>
  </si>
  <si>
    <t>Il punto di intersezione di tale segmento con la curva di saturazione è il punto 2 che rappresenta la corrente d'aria all'uscita dalla batteria di raffreddamento con deumidificazione</t>
  </si>
  <si>
    <t>Traccio il segmento orizzontale per</t>
  </si>
  <si>
    <t>Leggo dal diagramma psicrometrico l'entalpia specifica e la temperatura del punto 2</t>
  </si>
  <si>
    <t>Dall'apposita tabella A45 pag.A-18 del file "APPENDICE AL CAPITOLO 1 UNITÀ DI MISURA INTERPOLAZIONE LINEARE TABELLE" si esegue l'interpolazione per trovare hw</t>
  </si>
  <si>
    <t>a T=11°C</t>
  </si>
  <si>
    <t>Quindi dall'equazione del bilancio di massa dell'acqua</t>
  </si>
  <si>
    <t>Dall'equazione di bilancio dell'entalpia</t>
  </si>
  <si>
    <t>Riscaldamento con umidificazione adiabatica</t>
  </si>
  <si>
    <t xml:space="preserve">Proprietà della portata d'aria in ingresso </t>
  </si>
  <si>
    <t>10°C</t>
  </si>
  <si>
    <t>Q</t>
  </si>
  <si>
    <r>
      <t>T</t>
    </r>
    <r>
      <rPr>
        <vertAlign val="subscript"/>
        <sz val="12"/>
        <color indexed="8"/>
        <rFont val="Calibri"/>
        <family val="0"/>
      </rPr>
      <t>w</t>
    </r>
  </si>
  <si>
    <t>Leggo il valore di umidità specifica dal diagramma psicrometrico nel punto 1</t>
  </si>
  <si>
    <r>
      <rPr>
        <sz val="12"/>
        <color indexed="8"/>
        <rFont val="Symbol"/>
        <family val="0"/>
      </rPr>
      <t>w1=w</t>
    </r>
    <r>
      <rPr>
        <vertAlign val="subscript"/>
        <sz val="12"/>
        <color indexed="8"/>
        <rFont val="Calibri"/>
        <family val="0"/>
      </rPr>
      <t>2</t>
    </r>
  </si>
  <si>
    <t>Riscaldamento con umidificazione 1-2-3</t>
  </si>
  <si>
    <r>
      <t>La portata 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 xml:space="preserve"> deve essere riscaldata e umidificata- punto 3</t>
    </r>
  </si>
  <si>
    <t>Trasformazione 1-2</t>
  </si>
  <si>
    <t>Riscaldamento semplice</t>
  </si>
  <si>
    <t>Trasformazione 2-3</t>
  </si>
  <si>
    <t>Umidificazione adiabatica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</si>
  <si>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indexed="8"/>
        <rFont val="Symbol"/>
        <family val="0"/>
      </rPr>
      <t>=w</t>
    </r>
    <r>
      <rPr>
        <vertAlign val="subscript"/>
        <sz val="12"/>
        <color indexed="8"/>
        <rFont val="Calibri"/>
        <family val="0"/>
      </rPr>
      <t>2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</si>
  <si>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=h</t>
    </r>
    <r>
      <rPr>
        <vertAlign val="subscript"/>
        <sz val="12"/>
        <color indexed="8"/>
        <rFont val="Calibri"/>
        <family val="0"/>
      </rPr>
      <t>3</t>
    </r>
  </si>
  <si>
    <t>T=20 °C acqua liquida</t>
  </si>
  <si>
    <t>Consulto l'apposita tabella A45 pag.A-18 del file "APPENDICE AL CAPITOLO 1 UNITÀ DI MISURA INTERPOLAZIONE LINEARE TABELLE" per leggere hw (hl) a T=20°C</t>
  </si>
  <si>
    <t xml:space="preserve">Tracciando la linea isoentalpica per il punto 2, questa è la linea che rappresenta l'umidificazione adiabatica con acqua allo stato liquido (2-3). </t>
  </si>
  <si>
    <t>Il punto 3 si trova sulla linea isoentalpica passante per il punto 2</t>
  </si>
  <si>
    <t>Allora, individuato il punto 3, la sua ordinata rappresenta l'umidità specifica della corrente d'aria all'uscita dell'umidificatore.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</si>
  <si>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</si>
  <si>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</si>
  <si>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t>34°C</t>
  </si>
  <si>
    <t>Dall'apposita tabella A45 pag.A-18 del file "APPENDICE AL CAPITOLO 1 UNITÀ DI MISURA INTERPOLAZIONE LINEARE TABELLE"  si esegue l'interpolazione per trovare hw</t>
  </si>
  <si>
    <t>a T=13°C</t>
  </si>
  <si>
    <t>Mescolamento adiabatico</t>
  </si>
  <si>
    <t>portata d'acqua condensata</t>
  </si>
  <si>
    <t>Potenza batteria raffreddamento</t>
  </si>
  <si>
    <t>%</t>
  </si>
  <si>
    <t>La portata d'aria raffreddata esce dalla batteria e viene mescolata adiabaticamente con un'altra portata d'aria</t>
  </si>
  <si>
    <t>Proprietà della portata d'aria in ingresso r</t>
  </si>
  <si>
    <t>Proprietà della portata d'aria in ingresso k</t>
  </si>
  <si>
    <t>Indichiamo con 2 i pedici relativi alla portata d'aria raffreddata e con 3 quelli relativi alla portata di mescolamento</t>
  </si>
  <si>
    <r>
      <t>V</t>
    </r>
    <r>
      <rPr>
        <vertAlign val="subscript"/>
        <sz val="12"/>
        <color indexed="8"/>
        <rFont val="Calibri"/>
        <family val="0"/>
      </rPr>
      <t>a,2</t>
    </r>
  </si>
  <si>
    <r>
      <t>V</t>
    </r>
    <r>
      <rPr>
        <vertAlign val="subscript"/>
        <sz val="12"/>
        <color indexed="8"/>
        <rFont val="Calibri"/>
        <family val="0"/>
      </rPr>
      <t>a3</t>
    </r>
  </si>
  <si>
    <r>
      <t>v</t>
    </r>
    <r>
      <rPr>
        <vertAlign val="subscript"/>
        <sz val="12"/>
        <color indexed="8"/>
        <rFont val="Calibri"/>
        <family val="0"/>
      </rPr>
      <t>3</t>
    </r>
  </si>
  <si>
    <r>
      <t>m</t>
    </r>
    <r>
      <rPr>
        <vertAlign val="subscript"/>
        <sz val="12"/>
        <color indexed="8"/>
        <rFont val="Calibri"/>
        <family val="0"/>
      </rPr>
      <t>a3</t>
    </r>
  </si>
  <si>
    <t>13°C</t>
  </si>
  <si>
    <t>23°C</t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</si>
  <si>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</si>
  <si>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</si>
  <si>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</si>
  <si>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 xml:space="preserve"> =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</si>
  <si>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 =</t>
    </r>
  </si>
  <si>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)/(m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a2</t>
    </r>
    <r>
      <rPr>
        <sz val="12"/>
        <color theme="1"/>
        <rFont val="Calibri"/>
        <family val="2"/>
      </rPr>
      <t>)</t>
    </r>
  </si>
  <si>
    <t>Riscaldmento a T=30°C e umidificazione passando a UR=100%</t>
  </si>
  <si>
    <t>Temperatura e UR all'uscita del mescolamento adiabatico</t>
  </si>
  <si>
    <t>Temperatura all'uscita dall'umidificatore</t>
  </si>
  <si>
    <t xml:space="preserve">Portata d'acqua necessaria all'umidificazione </t>
  </si>
  <si>
    <t>circa 12,4°C</t>
  </si>
  <si>
    <t>Umidificazione</t>
  </si>
  <si>
    <t>3-4</t>
  </si>
  <si>
    <t>h3=h4</t>
  </si>
  <si>
    <t>poiché l'acqua viene inserita allo stato liquido</t>
  </si>
  <si>
    <t>Se l'umidificazione avviene con vapore saturo secco a 110°C, la massa d'aria all'uscita dall'unità di mescolamento adiabatico</t>
  </si>
  <si>
    <t xml:space="preserve">viene umidificata a temperatura costante e la sua umidità specifica </t>
  </si>
  <si>
    <t>25°C</t>
  </si>
  <si>
    <r>
      <t>h1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</si>
  <si>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 xml:space="preserve">3-4 </t>
  </si>
  <si>
    <t>T3=T4 =15,4°C</t>
  </si>
  <si>
    <t>poiché l'acqua viene inserita allo stato di vapore saturo surriscaldato</t>
  </si>
  <si>
    <t xml:space="preserve">Il punto 4 si trova sull'isoterma a 25°C,  l'umidità specifica come ordinata del punto 4. </t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</si>
  <si>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umidificata fino a UR = 80% - punto 4 </t>
    </r>
  </si>
  <si>
    <r>
      <t>La portata 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 xml:space="preserve"> deve essere umidificata- punto 4</t>
    </r>
  </si>
  <si>
    <t>Imposto i bilanci di massa e di energia</t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</si>
  <si>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4</t>
    </r>
  </si>
  <si>
    <r>
      <t>h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</si>
  <si>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/m</t>
    </r>
    <r>
      <rPr>
        <vertAlign val="subscript"/>
        <sz val="12"/>
        <color indexed="8"/>
        <rFont val="Calibri"/>
        <family val="0"/>
      </rPr>
      <t>a</t>
    </r>
  </si>
  <si>
    <t xml:space="preserve">Il punto 3 è individuato a T3 = 22°C e UR3=50%. Leggo dal diagramma psicrometrico l'umidità specifica </t>
  </si>
  <si>
    <t>Esercizio 3</t>
  </si>
  <si>
    <t>Leggo il valore di umidità specifica dal diagramma psicrometrico</t>
  </si>
  <si>
    <t>Leggo il valore di entalpia specifica dal diagramma psicrometrico</t>
  </si>
  <si>
    <r>
      <t>T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=T</t>
    </r>
    <r>
      <rPr>
        <vertAlign val="subscript"/>
        <sz val="12"/>
        <color indexed="8"/>
        <rFont val="Calibri"/>
        <family val="0"/>
      </rPr>
      <t>3</t>
    </r>
  </si>
  <si>
    <t>La corrente d'aria viene riscaldata a umidità specifica costante fino</t>
  </si>
  <si>
    <t>Portata d'acqua mw</t>
  </si>
  <si>
    <t>6,4 g/s</t>
  </si>
  <si>
    <t xml:space="preserve">con vapore saturo secco (T=110°C) </t>
  </si>
  <si>
    <r>
      <t>h2 =c</t>
    </r>
    <r>
      <rPr>
        <vertAlign val="subscript"/>
        <sz val="12"/>
        <color indexed="8"/>
        <rFont val="Calibri"/>
        <family val="0"/>
      </rPr>
      <t>p,a</t>
    </r>
    <r>
      <rPr>
        <sz val="12"/>
        <color theme="1"/>
        <rFont val="Calibri"/>
        <family val="2"/>
      </rPr>
      <t>T+</t>
    </r>
    <r>
      <rPr>
        <sz val="12"/>
        <color indexed="8"/>
        <rFont val="Symbol"/>
        <family val="0"/>
      </rPr>
      <t>w</t>
    </r>
    <r>
      <rPr>
        <sz val="12"/>
        <color theme="1"/>
        <rFont val="Calibri"/>
        <family val="2"/>
      </rPr>
      <t>*(</t>
    </r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vl</t>
    </r>
    <r>
      <rPr>
        <sz val="12"/>
        <color theme="1"/>
        <rFont val="Calibri"/>
        <family val="2"/>
      </rPr>
      <t>+c</t>
    </r>
    <r>
      <rPr>
        <vertAlign val="subscript"/>
        <sz val="12"/>
        <color indexed="8"/>
        <rFont val="Calibri"/>
        <family val="0"/>
      </rPr>
      <t>p,v</t>
    </r>
    <r>
      <rPr>
        <sz val="12"/>
        <color theme="1"/>
        <rFont val="Calibri"/>
        <family val="2"/>
      </rPr>
      <t>T)</t>
    </r>
  </si>
  <si>
    <t>?</t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</si>
  <si>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/m</t>
    </r>
    <r>
      <rPr>
        <vertAlign val="subscript"/>
        <sz val="12"/>
        <color indexed="8"/>
        <rFont val="Calibri"/>
        <family val="0"/>
      </rPr>
      <t>a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</si>
  <si>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= 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</si>
  <si>
    <r>
      <t>kg</t>
    </r>
    <r>
      <rPr>
        <vertAlign val="subscript"/>
        <sz val="12"/>
        <color indexed="8"/>
        <rFont val="Calibri"/>
        <family val="0"/>
      </rPr>
      <t>v</t>
    </r>
    <r>
      <rPr>
        <sz val="12"/>
        <color theme="1"/>
        <rFont val="Calibri"/>
        <family val="2"/>
      </rPr>
      <t>/kg</t>
    </r>
    <r>
      <rPr>
        <vertAlign val="subscript"/>
        <sz val="12"/>
        <color indexed="8"/>
        <rFont val="Calibri"/>
        <family val="0"/>
      </rPr>
      <t>a</t>
    </r>
  </si>
  <si>
    <r>
      <t>g</t>
    </r>
    <r>
      <rPr>
        <vertAlign val="subscript"/>
        <sz val="12"/>
        <color indexed="8"/>
        <rFont val="Calibri"/>
        <family val="0"/>
      </rPr>
      <t>v</t>
    </r>
    <r>
      <rPr>
        <sz val="12"/>
        <color theme="1"/>
        <rFont val="Calibri"/>
        <family val="2"/>
      </rPr>
      <t>/kg</t>
    </r>
    <r>
      <rPr>
        <vertAlign val="subscript"/>
        <sz val="12"/>
        <color indexed="8"/>
        <rFont val="Calibri"/>
        <family val="0"/>
      </rPr>
      <t>a</t>
    </r>
  </si>
  <si>
    <r>
      <t>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</si>
  <si>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</si>
  <si>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=</t>
    </r>
  </si>
  <si>
    <t>Q=</t>
  </si>
  <si>
    <t>Leggo h3 dal diagramma psicrometrico</t>
  </si>
  <si>
    <r>
      <t>kJ/kg</t>
    </r>
    <r>
      <rPr>
        <vertAlign val="subscript"/>
        <sz val="12"/>
        <color indexed="8"/>
        <rFont val="Calibri"/>
        <family val="0"/>
      </rPr>
      <t>a</t>
    </r>
  </si>
  <si>
    <t>Si osserva che l'approssimazione è accettabile. Infatti applicando l'equazione dell'entalpia si ha:</t>
  </si>
  <si>
    <t xml:space="preserve"> a T=110°C</t>
  </si>
  <si>
    <t>Quindi l'entalpia del vapore inserito per umidificare la corrente d'aria è:</t>
  </si>
  <si>
    <t>alla temperatura T2=20°C.</t>
  </si>
  <si>
    <t>Riscaldamento a T=20°C e umidificazione adiabatica con vapore saturo secco</t>
  </si>
  <si>
    <t>isoterma a T = 20°C,</t>
  </si>
  <si>
    <t>Pendenza della trasformazione</t>
  </si>
  <si>
    <t>portata massica risultante</t>
  </si>
  <si>
    <t>m3</t>
  </si>
  <si>
    <t>potenza frigorifera Q</t>
  </si>
  <si>
    <r>
      <t>portata volumetrica a valle della batteria di raffreddamento V</t>
    </r>
    <r>
      <rPr>
        <vertAlign val="subscript"/>
        <sz val="12"/>
        <color indexed="8"/>
        <rFont val="Calibri"/>
        <family val="0"/>
      </rPr>
      <t>4</t>
    </r>
  </si>
  <si>
    <r>
      <t>V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a4</t>
    </r>
    <r>
      <rPr>
        <sz val="12"/>
        <color theme="1"/>
        <rFont val="Calibri"/>
        <family val="2"/>
      </rPr>
      <t>*v</t>
    </r>
    <r>
      <rPr>
        <vertAlign val="subscript"/>
        <sz val="12"/>
        <color indexed="8"/>
        <rFont val="Calibri"/>
        <family val="0"/>
      </rPr>
      <t>4</t>
    </r>
  </si>
  <si>
    <r>
      <t>V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theme="1"/>
        <rFont val="Calibri"/>
        <family val="2"/>
      </rPr>
      <t>*v</t>
    </r>
    <r>
      <rPr>
        <vertAlign val="subscript"/>
        <sz val="12"/>
        <color indexed="8"/>
        <rFont val="Calibri"/>
        <family val="0"/>
      </rPr>
      <t>3</t>
    </r>
  </si>
  <si>
    <r>
      <t>a)</t>
    </r>
    <r>
      <rPr>
        <sz val="7"/>
        <color indexed="8"/>
        <rFont val="Calibri"/>
        <family val="2"/>
      </rPr>
      <t xml:space="preserve">               </t>
    </r>
    <r>
      <rPr>
        <sz val="12"/>
        <color theme="1"/>
        <rFont val="Calibri"/>
        <family val="2"/>
      </rPr>
      <t>la portata risultante dal mescolamento adiabatico e la sua temperatura;</t>
    </r>
  </si>
  <si>
    <r>
      <t>b)</t>
    </r>
    <r>
      <rPr>
        <sz val="7"/>
        <color indexed="8"/>
        <rFont val="Calibri"/>
        <family val="2"/>
      </rPr>
      <t xml:space="preserve">              </t>
    </r>
    <r>
      <rPr>
        <sz val="12"/>
        <color theme="1"/>
        <rFont val="Calibri"/>
        <family val="2"/>
      </rPr>
      <t>la portata d’acqua necessaria al processo di umidificazione;</t>
    </r>
  </si>
  <si>
    <r>
      <t>c)</t>
    </r>
    <r>
      <rPr>
        <sz val="7"/>
        <color indexed="8"/>
        <rFont val="Calibri"/>
        <family val="2"/>
      </rPr>
      <t xml:space="preserve">               </t>
    </r>
    <r>
      <rPr>
        <sz val="12"/>
        <color theme="1"/>
        <rFont val="Calibri"/>
        <family val="2"/>
      </rPr>
      <t>la potenzialità della batteria di riscaldamento nel caso in cui l’umidificazione è realizzata con vapore saturo secco a 110°C.</t>
    </r>
  </si>
  <si>
    <t>dalla lettura del diagramma psicrometrico</t>
  </si>
  <si>
    <t>PENDENZA DELLA TRASFORMAZIONE</t>
  </si>
  <si>
    <t>Esercizio 4</t>
  </si>
  <si>
    <t>Scrivo le equazioni di bilancio</t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</si>
  <si>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2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a3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3</t>
    </r>
  </si>
  <si>
    <t>Esercizio 5</t>
  </si>
  <si>
    <t>Esercizio 7</t>
  </si>
  <si>
    <t>potenzialità della batteria di riscaldamento</t>
  </si>
  <si>
    <t>portata di acqua necessaria all’umidificazione</t>
  </si>
  <si>
    <t>temperatura in uscita dal saturatore</t>
  </si>
  <si>
    <t>CALCOLARE</t>
  </si>
  <si>
    <t>Nel DIAGRAMMA in corrispondenza del punto a T=10°C e UR = 10% leggo il volume specifico</t>
  </si>
  <si>
    <t>L'umidificazione avviene con acqua liquida a Tw =20°C</t>
  </si>
  <si>
    <r>
      <t>T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, UR</t>
    </r>
    <r>
      <rPr>
        <vertAlign val="subscript"/>
        <sz val="12"/>
        <color indexed="8"/>
        <rFont val="Calibri"/>
        <family val="0"/>
      </rPr>
      <t>3</t>
    </r>
  </si>
  <si>
    <r>
      <t>T</t>
    </r>
    <r>
      <rPr>
        <vertAlign val="subscript"/>
        <sz val="12"/>
        <color indexed="8"/>
        <rFont val="Calibri"/>
        <family val="0"/>
      </rPr>
      <t>4</t>
    </r>
  </si>
  <si>
    <r>
      <t>m</t>
    </r>
    <r>
      <rPr>
        <vertAlign val="subscript"/>
        <sz val="12"/>
        <color indexed="8"/>
        <rFont val="Calibri"/>
        <family val="0"/>
      </rPr>
      <t>w</t>
    </r>
  </si>
  <si>
    <t>Il punto 4 si trova sulla curva di saturazione a h3=h4. Quindi leggo l'umidità specifica come ordinata del punto 4 e la temperatura di bulbo asciutto come ascissa del puto 4</t>
  </si>
  <si>
    <t>Per calcolare la portata d'acqua da introdurre per l'umidificazionesi scrive il bilancio di massa dell'acqua, sapendo che la massa d'aria secca rimane costante</t>
  </si>
  <si>
    <r>
      <rPr>
        <sz val="12"/>
        <color indexed="8"/>
        <rFont val="Symbol"/>
        <family val="0"/>
      </rPr>
      <t>D</t>
    </r>
    <r>
      <rPr>
        <sz val="12"/>
        <color theme="1"/>
        <rFont val="Calibri"/>
        <family val="2"/>
      </rPr>
      <t>h/</t>
    </r>
    <r>
      <rPr>
        <sz val="12"/>
        <color indexed="8"/>
        <rFont val="Symbol"/>
        <family val="0"/>
      </rPr>
      <t>Dw</t>
    </r>
  </si>
  <si>
    <r>
      <t>(h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</si>
  <si>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r>
      <t>h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3</t>
    </r>
  </si>
  <si>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Symbol"/>
        <family val="1"/>
      </rPr>
      <t>1</t>
    </r>
  </si>
  <si>
    <r>
      <t>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1</t>
    </r>
  </si>
  <si>
    <r>
      <t>(h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)/(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</t>
    </r>
    <r>
      <rPr>
        <sz val="12"/>
        <color indexed="8"/>
        <rFont val="Symbol"/>
        <family val="0"/>
      </rPr>
      <t>w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</t>
    </r>
  </si>
  <si>
    <t>35°C</t>
  </si>
  <si>
    <r>
      <t>Q</t>
    </r>
    <r>
      <rPr>
        <b/>
        <vertAlign val="subscript"/>
        <sz val="12"/>
        <color indexed="8"/>
        <rFont val="Calibri"/>
        <family val="0"/>
      </rPr>
      <t>raff</t>
    </r>
  </si>
  <si>
    <r>
      <t>m</t>
    </r>
    <r>
      <rPr>
        <b/>
        <vertAlign val="subscript"/>
        <sz val="12"/>
        <color indexed="8"/>
        <rFont val="Calibri"/>
        <family val="0"/>
      </rPr>
      <t>w</t>
    </r>
  </si>
  <si>
    <r>
      <t>Q</t>
    </r>
    <r>
      <rPr>
        <b/>
        <i/>
        <vertAlign val="subscript"/>
        <sz val="12"/>
        <color indexed="8"/>
        <rFont val="Calibri"/>
        <family val="0"/>
      </rPr>
      <t>postrisc</t>
    </r>
  </si>
  <si>
    <t>In condizioni di saturazione (punto 1') la temperatura della corrente d'aria è la temperatura di rugiada nelle condizioni di ingresso (T1=35°C, p=patm)</t>
  </si>
  <si>
    <t>Tr= 26°C</t>
  </si>
  <si>
    <t>Il punto 2 è individuato alla T=10°C, temperatura alla quale esce l'aria raffreddata dalla batteria di raffreddamento.</t>
  </si>
  <si>
    <t>Individuato il punto 2, ne leggo la corrispondente umidità specifica sull'asse delle ordinate</t>
  </si>
  <si>
    <t xml:space="preserve">All'uscita dalla batteria di raffreddamento l'aria viene riscaldata fino alla T= 18° </t>
  </si>
  <si>
    <t>Il riscaldamento è semplice, cioè ad umidità specifica costante</t>
  </si>
  <si>
    <r>
      <t>Il punto di intersezione (</t>
    </r>
    <r>
      <rPr>
        <b/>
        <sz val="12"/>
        <color indexed="8"/>
        <rFont val="Calibri"/>
        <family val="2"/>
      </rPr>
      <t>punto 3</t>
    </r>
    <r>
      <rPr>
        <sz val="12"/>
        <color theme="1"/>
        <rFont val="Calibri"/>
        <family val="2"/>
      </rPr>
      <t>) di tale segmento con il segmento verticale condotto a T=18°C rappresenta le condizioni di uscita dell'aria dalla batteria di post-riscaldamento</t>
    </r>
  </si>
  <si>
    <t>Leggo dal diagramma psicrometrico l'entalpia specifica del punto 3</t>
  </si>
  <si>
    <t>Si scrivono i bilanci per calcolare la portata d'acqua condensata e la potenza di raffreddamento</t>
  </si>
  <si>
    <t>Dall'apposita tabella A45 pag.A-18 del file "APPENDICE AL CAPITOLO 1 UNITÀ DI MISURA INTERPOLAZIONE LINEARE TABELLE" si legge hl</t>
  </si>
  <si>
    <t>a T=10°C</t>
  </si>
  <si>
    <r>
      <t>m</t>
    </r>
    <r>
      <rPr>
        <b/>
        <vertAlign val="subscript"/>
        <sz val="12"/>
        <color indexed="8"/>
        <rFont val="Calibri"/>
        <family val="0"/>
      </rPr>
      <t>w</t>
    </r>
    <r>
      <rPr>
        <b/>
        <sz val="12"/>
        <color indexed="8"/>
        <rFont val="Calibri"/>
        <family val="2"/>
      </rPr>
      <t>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Symbol"/>
        <family val="0"/>
      </rPr>
      <t>w</t>
    </r>
    <r>
      <rPr>
        <b/>
        <vertAlign val="subscript"/>
        <sz val="12"/>
        <color indexed="8"/>
        <rFont val="Calibri"/>
        <family val="0"/>
      </rPr>
      <t>1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Symbol"/>
        <family val="0"/>
      </rPr>
      <t>w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</t>
    </r>
  </si>
  <si>
    <r>
      <t>Q=m</t>
    </r>
    <r>
      <rPr>
        <b/>
        <vertAlign val="subscript"/>
        <sz val="12"/>
        <color indexed="8"/>
        <rFont val="Calibri"/>
        <family val="0"/>
      </rPr>
      <t>a</t>
    </r>
    <r>
      <rPr>
        <b/>
        <sz val="12"/>
        <color indexed="8"/>
        <rFont val="Calibri"/>
        <family val="2"/>
      </rPr>
      <t>(h</t>
    </r>
    <r>
      <rPr>
        <b/>
        <vertAlign val="subscript"/>
        <sz val="12"/>
        <color indexed="8"/>
        <rFont val="Calibri"/>
        <family val="0"/>
      </rPr>
      <t>1</t>
    </r>
    <r>
      <rPr>
        <b/>
        <sz val="12"/>
        <color indexed="8"/>
        <rFont val="Calibri"/>
        <family val="2"/>
      </rPr>
      <t>-h</t>
    </r>
    <r>
      <rPr>
        <b/>
        <vertAlign val="subscript"/>
        <sz val="12"/>
        <color indexed="8"/>
        <rFont val="Calibri"/>
        <family val="0"/>
      </rPr>
      <t>2</t>
    </r>
    <r>
      <rPr>
        <b/>
        <sz val="12"/>
        <color indexed="8"/>
        <rFont val="Calibri"/>
        <family val="2"/>
      </rPr>
      <t>)-m</t>
    </r>
    <r>
      <rPr>
        <b/>
        <vertAlign val="subscript"/>
        <sz val="12"/>
        <color indexed="8"/>
        <rFont val="Calibri"/>
        <family val="0"/>
      </rPr>
      <t>w</t>
    </r>
    <r>
      <rPr>
        <b/>
        <sz val="12"/>
        <color indexed="8"/>
        <rFont val="Calibri"/>
        <family val="2"/>
      </rPr>
      <t>h</t>
    </r>
    <r>
      <rPr>
        <b/>
        <vertAlign val="subscript"/>
        <sz val="12"/>
        <color indexed="8"/>
        <rFont val="Calibri"/>
        <family val="0"/>
      </rPr>
      <t>w</t>
    </r>
  </si>
  <si>
    <t>Processo di post-riscaldamento 2-3</t>
  </si>
  <si>
    <t>37°C</t>
  </si>
  <si>
    <t>In condizioni di saturazione (punto 1') la temperatura della corrente d'aria è la temperatura di rugiada nelle condizioni di ingresso (T1=37°C, p=patm)</t>
  </si>
  <si>
    <t>Tr= 21,3°C</t>
  </si>
  <si>
    <r>
      <t>Si ricava l'entalpia dell'acqua condensata h</t>
    </r>
    <r>
      <rPr>
        <vertAlign val="subscript"/>
        <sz val="12"/>
        <color indexed="8"/>
        <rFont val="Calibri"/>
        <family val="0"/>
      </rPr>
      <t xml:space="preserve">w </t>
    </r>
    <r>
      <rPr>
        <sz val="12"/>
        <color theme="1"/>
        <rFont val="Calibri"/>
        <family val="2"/>
      </rPr>
      <t>dall'apposita tabella A45 pag.A-18 del file "APPENDICE AL CAPITOLO 1 UNITÀ DI MISURA INTERPOLAZIONE LINEARE TABELLE". Si esegue l'interpolazione per trovare hw</t>
    </r>
  </si>
  <si>
    <t>All'uscita dalla batteria di raffreddamento l'aria viene riscaldata fino alla T= 22° C e UR=50%</t>
  </si>
  <si>
    <r>
      <t>Q</t>
    </r>
    <r>
      <rPr>
        <vertAlign val="subscript"/>
        <sz val="12"/>
        <color indexed="8"/>
        <rFont val="Calibri"/>
        <family val="0"/>
      </rPr>
      <t>postrisc</t>
    </r>
    <r>
      <rPr>
        <sz val="12"/>
        <color theme="1"/>
        <rFont val="Calibri"/>
        <family val="2"/>
      </rPr>
      <t>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3</t>
    </r>
    <r>
      <rPr>
        <sz val="12"/>
        <color theme="1"/>
        <rFont val="Calibri"/>
        <family val="2"/>
      </rPr>
      <t>-h</t>
    </r>
    <r>
      <rPr>
        <vertAlign val="sub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</t>
    </r>
  </si>
  <si>
    <t>Esercizio 6</t>
  </si>
  <si>
    <t>Esercizio 8</t>
  </si>
  <si>
    <t>Esercizio 9</t>
  </si>
  <si>
    <t>Esercizio 10</t>
  </si>
  <si>
    <t>Dal diagramma leggo la temperatura in uscita dal saturatore</t>
  </si>
  <si>
    <t>Raffreddamento con deumidificazione e mescolamento adiabatico</t>
  </si>
  <si>
    <t>RAFFREDDAMENTO SEMPLICE 3-4</t>
  </si>
  <si>
    <t>MESCOLAMENTO ADIABATICO tra le portate 1 e 2</t>
  </si>
  <si>
    <t>16,5°C</t>
  </si>
  <si>
    <r>
      <t>T</t>
    </r>
    <r>
      <rPr>
        <vertAlign val="subscript"/>
        <sz val="12"/>
        <color indexed="8"/>
        <rFont val="Calibri"/>
        <family val="0"/>
      </rPr>
      <t>4</t>
    </r>
    <r>
      <rPr>
        <sz val="12"/>
        <color theme="1"/>
        <rFont val="Calibri"/>
        <family val="2"/>
      </rPr>
      <t xml:space="preserve"> </t>
    </r>
  </si>
  <si>
    <t>Mescolamento adiabatico e umidificazione</t>
  </si>
  <si>
    <t>Umidificazione a UR=80%</t>
  </si>
  <si>
    <t>Umidificazione isoterma</t>
  </si>
  <si>
    <t>di portata mw di 6,4g/s</t>
  </si>
  <si>
    <r>
      <t>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(h</t>
    </r>
    <r>
      <rPr>
        <vertAlign val="subscript"/>
        <sz val="12"/>
        <color indexed="8"/>
        <rFont val="Calibri"/>
        <family val="0"/>
      </rPr>
      <t>2-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)-m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</si>
  <si>
    <r>
      <t>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1</t>
    </r>
    <r>
      <rPr>
        <sz val="12"/>
        <color theme="1"/>
        <rFont val="Calibri"/>
        <family val="2"/>
      </rPr>
      <t>+m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w</t>
    </r>
    <r>
      <rPr>
        <sz val="12"/>
        <color theme="1"/>
        <rFont val="Calibri"/>
        <family val="2"/>
      </rPr>
      <t>+Q=m</t>
    </r>
    <r>
      <rPr>
        <vertAlign val="subscript"/>
        <sz val="12"/>
        <color indexed="8"/>
        <rFont val="Calibri"/>
        <family val="0"/>
      </rPr>
      <t>a</t>
    </r>
    <r>
      <rPr>
        <sz val="12"/>
        <color theme="1"/>
        <rFont val="Calibri"/>
        <family val="2"/>
      </rPr>
      <t>h</t>
    </r>
    <r>
      <rPr>
        <vertAlign val="subscript"/>
        <sz val="12"/>
        <color indexed="8"/>
        <rFont val="Calibri"/>
        <family val="0"/>
      </rPr>
      <t>2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</si>
</sst>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0"/>
    </font>
    <font>
      <vertAlign val="superscript"/>
      <sz val="12"/>
      <color indexed="8"/>
      <name val="Calibri"/>
      <family val="0"/>
    </font>
    <font>
      <sz val="12"/>
      <color indexed="8"/>
      <name val="Symbol"/>
      <family val="0"/>
    </font>
    <font>
      <i/>
      <vertAlign val="subscript"/>
      <sz val="12"/>
      <color indexed="8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vertAlign val="subscript"/>
      <sz val="12"/>
      <color indexed="8"/>
      <name val="Symbol"/>
      <family val="1"/>
    </font>
    <font>
      <b/>
      <vertAlign val="subscript"/>
      <sz val="12"/>
      <color indexed="8"/>
      <name val="Calibri"/>
      <family val="0"/>
    </font>
    <font>
      <b/>
      <i/>
      <vertAlign val="subscript"/>
      <sz val="12"/>
      <color indexed="8"/>
      <name val="Calibri"/>
      <family val="0"/>
    </font>
    <font>
      <b/>
      <sz val="12"/>
      <color indexed="8"/>
      <name val="Symbol"/>
      <family val="0"/>
    </font>
    <font>
      <b/>
      <sz val="12"/>
      <color indexed="10"/>
      <name val="Calibri"/>
      <family val="0"/>
    </font>
    <font>
      <b/>
      <i/>
      <sz val="12"/>
      <color indexed="8"/>
      <name val="Calibri"/>
      <family val="0"/>
    </font>
    <font>
      <sz val="10"/>
      <color indexed="8"/>
      <name val="TimesNewRomanPSMT-Identity-H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0"/>
    </font>
    <font>
      <sz val="12"/>
      <color theme="1"/>
      <name val="Symbol"/>
      <family val="0"/>
    </font>
    <font>
      <b/>
      <i/>
      <sz val="12"/>
      <color theme="1"/>
      <name val="Calibri"/>
      <family val="0"/>
    </font>
    <font>
      <sz val="12"/>
      <color rgb="FF000000"/>
      <name val="Calibri"/>
      <family val="2"/>
    </font>
    <font>
      <vertAlign val="subscript"/>
      <sz val="12"/>
      <color theme="1"/>
      <name val="Calibri"/>
      <family val="0"/>
    </font>
    <font>
      <sz val="10"/>
      <color theme="1"/>
      <name val="TimesNewRomanPSMT-Identity-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66" fontId="47" fillId="0" borderId="0" xfId="0" applyNumberFormat="1" applyFont="1" applyAlignment="1">
      <alignment horizontal="center"/>
    </xf>
    <xf numFmtId="165" fontId="47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left" vertical="center" indent="4"/>
    </xf>
    <xf numFmtId="0" fontId="49" fillId="0" borderId="0" xfId="0" applyFont="1" applyAlignment="1">
      <alignment/>
    </xf>
    <xf numFmtId="0" fontId="0" fillId="0" borderId="0" xfId="0" applyFont="1" applyAlignment="1">
      <alignment horizontal="left"/>
    </xf>
    <xf numFmtId="0" fontId="52" fillId="0" borderId="0" xfId="0" applyFont="1" applyAlignment="1">
      <alignment/>
    </xf>
    <xf numFmtId="166" fontId="0" fillId="0" borderId="0" xfId="0" applyNumberFormat="1" applyAlignment="1">
      <alignment/>
    </xf>
    <xf numFmtId="164" fontId="47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0" fontId="5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22">
      <selection activeCell="F30" sqref="F30"/>
    </sheetView>
  </sheetViews>
  <sheetFormatPr defaultColWidth="11.00390625" defaultRowHeight="15.75"/>
  <cols>
    <col min="1" max="1" width="12.375" style="0" customWidth="1"/>
    <col min="2" max="2" width="12.00390625" style="0" customWidth="1"/>
    <col min="3" max="4" width="11.0039062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spans="1:4" ht="15.75">
      <c r="A1" s="37" t="s">
        <v>3</v>
      </c>
      <c r="B1" s="37"/>
      <c r="C1" s="37"/>
      <c r="D1" s="37"/>
    </row>
    <row r="2" spans="1:4" ht="15.75">
      <c r="A2" s="37" t="s">
        <v>4</v>
      </c>
      <c r="B2" s="37"/>
      <c r="C2" s="37"/>
      <c r="D2" s="37"/>
    </row>
    <row r="4" spans="1:6" ht="15.75">
      <c r="A4" s="37" t="s">
        <v>5</v>
      </c>
      <c r="F4" s="37" t="s">
        <v>8</v>
      </c>
    </row>
    <row r="5" spans="1:10" ht="19.5">
      <c r="A5" t="s">
        <v>37</v>
      </c>
      <c r="B5">
        <v>4000</v>
      </c>
      <c r="C5" t="s">
        <v>35</v>
      </c>
      <c r="D5" s="8">
        <f>B5/3600</f>
        <v>1.1111111111111112</v>
      </c>
      <c r="E5" t="s">
        <v>78</v>
      </c>
      <c r="F5" t="s">
        <v>38</v>
      </c>
      <c r="G5">
        <v>1500</v>
      </c>
      <c r="H5" t="s">
        <v>35</v>
      </c>
      <c r="I5" s="8">
        <f>G5/3600</f>
        <v>0.4166666666666667</v>
      </c>
      <c r="J5" t="s">
        <v>78</v>
      </c>
    </row>
    <row r="6" spans="1:7" ht="18.75">
      <c r="A6" t="s">
        <v>6</v>
      </c>
      <c r="B6" s="1">
        <v>0.8</v>
      </c>
      <c r="F6" t="s">
        <v>9</v>
      </c>
      <c r="G6">
        <v>40</v>
      </c>
    </row>
    <row r="7" spans="1:7" ht="18.75">
      <c r="A7" t="s">
        <v>7</v>
      </c>
      <c r="B7" s="3" t="s">
        <v>13</v>
      </c>
      <c r="F7" t="s">
        <v>10</v>
      </c>
      <c r="G7">
        <v>35</v>
      </c>
    </row>
    <row r="8" spans="1:8" ht="19.5">
      <c r="A8" t="s">
        <v>11</v>
      </c>
      <c r="B8" t="s">
        <v>15</v>
      </c>
      <c r="F8" t="s">
        <v>12</v>
      </c>
      <c r="G8">
        <v>0.893</v>
      </c>
      <c r="H8" t="s">
        <v>17</v>
      </c>
    </row>
    <row r="10" ht="15.75">
      <c r="A10" s="37" t="s">
        <v>88</v>
      </c>
    </row>
    <row r="11" spans="1:3" ht="15.75">
      <c r="A11" s="4" t="s">
        <v>253</v>
      </c>
      <c r="C11" t="s">
        <v>254</v>
      </c>
    </row>
    <row r="12" ht="18.75">
      <c r="A12" s="4" t="s">
        <v>256</v>
      </c>
    </row>
    <row r="13" ht="15.75">
      <c r="A13" s="4" t="s">
        <v>255</v>
      </c>
    </row>
    <row r="15" ht="15.75">
      <c r="A15" t="s">
        <v>18</v>
      </c>
    </row>
    <row r="16" spans="1:11" ht="19.5">
      <c r="A16" t="s">
        <v>11</v>
      </c>
      <c r="B16">
        <f>0.82+(15-13)/(18-13)*(0.84-0.82)</f>
        <v>0.828</v>
      </c>
      <c r="C16" t="s">
        <v>17</v>
      </c>
      <c r="D16" s="5" t="s">
        <v>36</v>
      </c>
      <c r="F16" s="3" t="s">
        <v>39</v>
      </c>
      <c r="G16" t="s">
        <v>40</v>
      </c>
      <c r="H16">
        <f>B5/3600/B16</f>
        <v>1.3419216317767044</v>
      </c>
      <c r="I16" t="s">
        <v>16</v>
      </c>
      <c r="J16" s="6">
        <v>1.34</v>
      </c>
      <c r="K16" t="s">
        <v>16</v>
      </c>
    </row>
    <row r="17" ht="15.75">
      <c r="J17" s="5"/>
    </row>
    <row r="18" spans="1:10" ht="15.75">
      <c r="A18" t="s">
        <v>43</v>
      </c>
      <c r="J18" s="5"/>
    </row>
    <row r="19" spans="1:11" ht="19.5">
      <c r="A19" t="s">
        <v>12</v>
      </c>
      <c r="B19">
        <v>0.893</v>
      </c>
      <c r="C19" t="s">
        <v>17</v>
      </c>
      <c r="D19" s="5" t="s">
        <v>36</v>
      </c>
      <c r="F19" s="3" t="s">
        <v>42</v>
      </c>
      <c r="G19" t="s">
        <v>41</v>
      </c>
      <c r="H19">
        <f>G5/3600/B19</f>
        <v>0.4665920119447555</v>
      </c>
      <c r="I19" t="s">
        <v>16</v>
      </c>
      <c r="J19" s="6">
        <v>0.47</v>
      </c>
      <c r="K19" t="s">
        <v>16</v>
      </c>
    </row>
    <row r="21" spans="1:3" ht="18.75">
      <c r="A21" s="3" t="s">
        <v>39</v>
      </c>
      <c r="B21" s="6">
        <v>1.34</v>
      </c>
      <c r="C21" t="s">
        <v>16</v>
      </c>
    </row>
    <row r="22" spans="1:3" ht="18.75">
      <c r="A22" s="3" t="s">
        <v>42</v>
      </c>
      <c r="B22" s="6">
        <v>0.47</v>
      </c>
      <c r="C22" t="s">
        <v>16</v>
      </c>
    </row>
    <row r="24" ht="15.75">
      <c r="A24" t="s">
        <v>45</v>
      </c>
    </row>
    <row r="25" spans="1:3" ht="18.75">
      <c r="A25" t="s">
        <v>19</v>
      </c>
      <c r="B25">
        <v>8.5</v>
      </c>
      <c r="C25" t="s">
        <v>24</v>
      </c>
    </row>
    <row r="26" spans="1:3" ht="18.75">
      <c r="A26" t="s">
        <v>20</v>
      </c>
      <c r="B26">
        <v>14.2</v>
      </c>
      <c r="C26" t="s">
        <v>24</v>
      </c>
    </row>
    <row r="27" spans="1:6" ht="15.75">
      <c r="A27" t="s">
        <v>46</v>
      </c>
      <c r="F27" s="5"/>
    </row>
    <row r="28" spans="1:3" ht="18.75">
      <c r="A28" t="s">
        <v>22</v>
      </c>
      <c r="B28">
        <v>36.9</v>
      </c>
      <c r="C28" t="s">
        <v>25</v>
      </c>
    </row>
    <row r="29" spans="1:3" ht="18.75">
      <c r="A29" t="s">
        <v>23</v>
      </c>
      <c r="B29">
        <v>72</v>
      </c>
      <c r="C29" t="s">
        <v>25</v>
      </c>
    </row>
    <row r="31" ht="15.75">
      <c r="A31" t="s">
        <v>317</v>
      </c>
    </row>
    <row r="32" ht="15.75">
      <c r="A32" t="s">
        <v>30</v>
      </c>
    </row>
    <row r="34" spans="1:10" ht="18.75">
      <c r="A34" t="s">
        <v>26</v>
      </c>
      <c r="D34" t="s">
        <v>29</v>
      </c>
      <c r="G34" t="s">
        <v>44</v>
      </c>
      <c r="I34">
        <f>J16+J19</f>
        <v>1.81</v>
      </c>
      <c r="J34" t="s">
        <v>16</v>
      </c>
    </row>
    <row r="35" spans="1:12" ht="18.75">
      <c r="A35" s="4" t="s">
        <v>28</v>
      </c>
      <c r="D35" t="s">
        <v>31</v>
      </c>
      <c r="G35" t="s">
        <v>33</v>
      </c>
      <c r="I35" s="8">
        <f>(J16*B25+J19*B26)/I34</f>
        <v>9.980110497237568</v>
      </c>
      <c r="J35" t="s">
        <v>24</v>
      </c>
      <c r="K35" s="9">
        <v>10</v>
      </c>
      <c r="L35" t="s">
        <v>24</v>
      </c>
    </row>
    <row r="36" spans="1:12" ht="18.75">
      <c r="A36" t="s">
        <v>27</v>
      </c>
      <c r="D36" t="s">
        <v>32</v>
      </c>
      <c r="G36" s="4" t="s">
        <v>34</v>
      </c>
      <c r="I36" s="8">
        <f>(B21*B28+B22*B29)/I34</f>
        <v>46.014364640883976</v>
      </c>
      <c r="J36" t="s">
        <v>25</v>
      </c>
      <c r="K36" s="9">
        <v>46</v>
      </c>
      <c r="L36" t="s">
        <v>25</v>
      </c>
    </row>
    <row r="39" ht="18.75">
      <c r="A39" t="s">
        <v>47</v>
      </c>
    </row>
    <row r="40" spans="1:2" ht="18.75">
      <c r="A40" t="s">
        <v>79</v>
      </c>
      <c r="B40" t="s">
        <v>80</v>
      </c>
    </row>
    <row r="42" ht="15.75">
      <c r="A42" t="s">
        <v>316</v>
      </c>
    </row>
    <row r="43" ht="15.75">
      <c r="A43" t="s">
        <v>49</v>
      </c>
    </row>
    <row r="44" ht="15.75">
      <c r="A44" t="s">
        <v>50</v>
      </c>
    </row>
    <row r="46" ht="15.75">
      <c r="A46" t="s">
        <v>51</v>
      </c>
    </row>
    <row r="48" spans="1:8" ht="18.75">
      <c r="A48" t="s">
        <v>55</v>
      </c>
      <c r="B48" t="s">
        <v>57</v>
      </c>
      <c r="D48" t="s">
        <v>56</v>
      </c>
      <c r="E48" t="s">
        <v>66</v>
      </c>
      <c r="F48" s="3" t="s">
        <v>56</v>
      </c>
      <c r="G48">
        <f>I34</f>
        <v>1.81</v>
      </c>
      <c r="H48" t="s">
        <v>16</v>
      </c>
    </row>
    <row r="50" spans="1:8" ht="18.75">
      <c r="A50" t="s">
        <v>52</v>
      </c>
      <c r="B50" s="3" t="s">
        <v>53</v>
      </c>
      <c r="C50" t="s">
        <v>54</v>
      </c>
      <c r="F50" s="3" t="s">
        <v>67</v>
      </c>
      <c r="G50">
        <f>K35</f>
        <v>10</v>
      </c>
      <c r="H50" t="s">
        <v>24</v>
      </c>
    </row>
    <row r="52" spans="1:3" ht="18.75">
      <c r="A52" t="s">
        <v>58</v>
      </c>
      <c r="B52" s="3" t="s">
        <v>53</v>
      </c>
      <c r="C52" t="s">
        <v>59</v>
      </c>
    </row>
    <row r="54" ht="15.75">
      <c r="A54" t="s">
        <v>60</v>
      </c>
    </row>
    <row r="55" spans="4:10" ht="15.75">
      <c r="D55" s="10" t="s">
        <v>62</v>
      </c>
      <c r="E55" s="11"/>
      <c r="F55" s="11"/>
      <c r="G55" s="11"/>
      <c r="H55" s="11"/>
      <c r="I55" s="11"/>
      <c r="J55" s="12"/>
    </row>
    <row r="56" spans="1:10" ht="18.75">
      <c r="A56" t="s">
        <v>61</v>
      </c>
      <c r="B56">
        <v>39.5</v>
      </c>
      <c r="C56" t="s">
        <v>25</v>
      </c>
      <c r="D56" s="13" t="s">
        <v>63</v>
      </c>
      <c r="E56" s="14"/>
      <c r="F56" s="14">
        <f>1.01*14+0.01*(2500+1.805*14)</f>
        <v>39.392700000000005</v>
      </c>
      <c r="G56" s="14" t="s">
        <v>25</v>
      </c>
      <c r="H56" s="14" t="s">
        <v>64</v>
      </c>
      <c r="I56" s="14"/>
      <c r="J56" s="15"/>
    </row>
    <row r="58" ht="15.75">
      <c r="A58" t="s">
        <v>65</v>
      </c>
    </row>
    <row r="60" spans="1:3" ht="18.75">
      <c r="A60" t="s">
        <v>59</v>
      </c>
      <c r="B60" s="8">
        <f>G48*(K36-B56)</f>
        <v>11.765</v>
      </c>
      <c r="C60" t="s">
        <v>68</v>
      </c>
    </row>
    <row r="62" ht="15.75">
      <c r="A62" t="s">
        <v>69</v>
      </c>
    </row>
    <row r="63" ht="15.75">
      <c r="A63" t="s">
        <v>70</v>
      </c>
    </row>
    <row r="64" spans="1:2" ht="15.75">
      <c r="A64" t="s">
        <v>71</v>
      </c>
      <c r="B64">
        <v>14</v>
      </c>
    </row>
    <row r="66" ht="15.75">
      <c r="A66" t="s">
        <v>72</v>
      </c>
    </row>
    <row r="67" ht="15.75">
      <c r="A67" t="s">
        <v>73</v>
      </c>
    </row>
    <row r="68" spans="1:3" ht="18.75">
      <c r="A68" t="s">
        <v>75</v>
      </c>
      <c r="B68">
        <v>0.826</v>
      </c>
      <c r="C68" t="s">
        <v>14</v>
      </c>
    </row>
    <row r="70" ht="15.75">
      <c r="A70" t="s">
        <v>74</v>
      </c>
    </row>
    <row r="71" spans="1:3" ht="18.75">
      <c r="A71" t="s">
        <v>75</v>
      </c>
      <c r="B71">
        <f>0.82+(14-12.3)/(15-12.3)*(0.83-0.82)</f>
        <v>0.8262962962962963</v>
      </c>
      <c r="C71" t="s">
        <v>14</v>
      </c>
    </row>
    <row r="74" ht="15.75">
      <c r="A74" t="s">
        <v>76</v>
      </c>
    </row>
    <row r="76" spans="1:5" ht="19.5">
      <c r="A76" t="s">
        <v>257</v>
      </c>
      <c r="B76">
        <f>B68*G48</f>
        <v>1.49506</v>
      </c>
      <c r="C76" t="s">
        <v>78</v>
      </c>
      <c r="D76">
        <f>B76*3600</f>
        <v>5382.216</v>
      </c>
      <c r="E76" t="s">
        <v>35</v>
      </c>
    </row>
    <row r="78" ht="15.75">
      <c r="A78" t="s">
        <v>77</v>
      </c>
    </row>
    <row r="79" spans="1:5" ht="19.5">
      <c r="A79" t="s">
        <v>258</v>
      </c>
      <c r="B79">
        <f>I34*0.849</f>
        <v>1.5366900000000001</v>
      </c>
      <c r="C79" t="s">
        <v>78</v>
      </c>
      <c r="D79">
        <f>B79*3600</f>
        <v>5532.084000000001</v>
      </c>
      <c r="E79" t="s">
        <v>35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110" zoomScaleNormal="110" zoomScalePageLayoutView="0" workbookViewId="0" topLeftCell="A38">
      <selection activeCell="E42" sqref="E42"/>
    </sheetView>
  </sheetViews>
  <sheetFormatPr defaultColWidth="11.00390625" defaultRowHeight="15.75"/>
  <cols>
    <col min="1" max="1" width="18.50390625" style="0" customWidth="1"/>
    <col min="2" max="2" width="14.50390625" style="0" customWidth="1"/>
    <col min="3" max="3" width="20.37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313</v>
      </c>
    </row>
    <row r="2" ht="15.75">
      <c r="A2" s="37" t="s">
        <v>134</v>
      </c>
    </row>
    <row r="4" ht="15.75">
      <c r="A4" t="s">
        <v>5</v>
      </c>
    </row>
    <row r="5" spans="1:9" ht="19.5">
      <c r="A5" t="s">
        <v>37</v>
      </c>
      <c r="B5">
        <v>8000</v>
      </c>
      <c r="C5" t="s">
        <v>35</v>
      </c>
      <c r="D5" s="8">
        <f>B5/3600</f>
        <v>2.2222222222222223</v>
      </c>
      <c r="E5" t="s">
        <v>78</v>
      </c>
      <c r="I5" s="8"/>
    </row>
    <row r="6" spans="1:7" ht="18.75">
      <c r="A6" t="s">
        <v>6</v>
      </c>
      <c r="B6" s="1">
        <v>0.7</v>
      </c>
      <c r="G6" s="1"/>
    </row>
    <row r="7" spans="1:2" ht="18.75">
      <c r="A7" t="s">
        <v>7</v>
      </c>
      <c r="B7" s="3" t="s">
        <v>116</v>
      </c>
    </row>
    <row r="8" spans="1:2" ht="18.75">
      <c r="A8" t="s">
        <v>11</v>
      </c>
      <c r="B8" t="s">
        <v>15</v>
      </c>
    </row>
    <row r="10" ht="15.75">
      <c r="A10" t="s">
        <v>250</v>
      </c>
    </row>
    <row r="11" spans="1:4" ht="15.75">
      <c r="A11" t="s">
        <v>231</v>
      </c>
      <c r="B11" t="s">
        <v>232</v>
      </c>
      <c r="C11">
        <f>6.4/1000</f>
        <v>0.0064</v>
      </c>
      <c r="D11" t="s">
        <v>16</v>
      </c>
    </row>
    <row r="13" ht="15.75">
      <c r="A13" t="s">
        <v>117</v>
      </c>
    </row>
    <row r="14" spans="1:10" ht="19.5">
      <c r="A14" t="s">
        <v>11</v>
      </c>
      <c r="B14">
        <f>0.791</f>
        <v>0.791</v>
      </c>
      <c r="C14" t="s">
        <v>17</v>
      </c>
      <c r="D14" s="5" t="s">
        <v>36</v>
      </c>
      <c r="F14" s="3" t="s">
        <v>39</v>
      </c>
      <c r="G14" t="s">
        <v>40</v>
      </c>
      <c r="H14" s="8">
        <f>B5/3600/B14</f>
        <v>2.8093833403567916</v>
      </c>
      <c r="I14" t="s">
        <v>16</v>
      </c>
      <c r="J14" t="s">
        <v>16</v>
      </c>
    </row>
    <row r="16" spans="1:4" ht="18.75">
      <c r="A16" s="3" t="s">
        <v>39</v>
      </c>
      <c r="B16" s="18">
        <f>H14</f>
        <v>2.8093833403567916</v>
      </c>
      <c r="C16" t="s">
        <v>16</v>
      </c>
      <c r="D16" s="31"/>
    </row>
    <row r="18" ht="15.75">
      <c r="A18" t="s">
        <v>227</v>
      </c>
    </row>
    <row r="19" spans="1:3" ht="18.75">
      <c r="A19" t="s">
        <v>19</v>
      </c>
      <c r="B19">
        <v>3.7</v>
      </c>
      <c r="C19" t="s">
        <v>239</v>
      </c>
    </row>
    <row r="20" spans="1:6" ht="15.75">
      <c r="A20" t="s">
        <v>228</v>
      </c>
      <c r="F20" s="5"/>
    </row>
    <row r="21" spans="1:11" ht="18.75">
      <c r="A21" t="s">
        <v>22</v>
      </c>
      <c r="B21">
        <v>14.5</v>
      </c>
      <c r="C21" t="s">
        <v>25</v>
      </c>
      <c r="E21" s="10" t="s">
        <v>62</v>
      </c>
      <c r="F21" s="11"/>
      <c r="G21" s="11"/>
      <c r="H21" s="11"/>
      <c r="I21" s="11"/>
      <c r="J21" s="11"/>
      <c r="K21" s="12"/>
    </row>
    <row r="22" spans="5:11" ht="18.75">
      <c r="E22" s="13" t="s">
        <v>214</v>
      </c>
      <c r="F22" s="14"/>
      <c r="G22" s="14">
        <f>1.01*5+B19/1000*(2500+1.805*5)</f>
        <v>14.333392500000002</v>
      </c>
      <c r="H22" s="14" t="s">
        <v>25</v>
      </c>
      <c r="I22" s="14" t="s">
        <v>64</v>
      </c>
      <c r="J22" s="14"/>
      <c r="K22" s="15"/>
    </row>
    <row r="24" spans="1:3" ht="15.75">
      <c r="A24" t="s">
        <v>134</v>
      </c>
      <c r="C24" s="27"/>
    </row>
    <row r="25" ht="15.75">
      <c r="I25" s="5"/>
    </row>
    <row r="26" spans="1:9" ht="18.75">
      <c r="A26" s="23" t="s">
        <v>166</v>
      </c>
      <c r="B26" t="s">
        <v>167</v>
      </c>
      <c r="D26" t="s">
        <v>170</v>
      </c>
      <c r="E26" s="8">
        <f>B19</f>
        <v>3.7</v>
      </c>
      <c r="F26" t="s">
        <v>239</v>
      </c>
      <c r="I26" s="5"/>
    </row>
    <row r="27" spans="1:9" ht="15.75">
      <c r="A27" s="23"/>
      <c r="B27" t="s">
        <v>230</v>
      </c>
      <c r="E27" s="8"/>
      <c r="I27" s="5"/>
    </row>
    <row r="28" spans="1:9" ht="15.75">
      <c r="A28" s="23"/>
      <c r="B28" t="s">
        <v>249</v>
      </c>
      <c r="E28" s="8"/>
      <c r="I28" s="5"/>
    </row>
    <row r="29" spans="1:13" ht="18.75">
      <c r="A29" s="23"/>
      <c r="C29" t="s">
        <v>125</v>
      </c>
      <c r="D29" s="4" t="s">
        <v>23</v>
      </c>
      <c r="E29" s="28">
        <v>30</v>
      </c>
      <c r="F29" t="s">
        <v>25</v>
      </c>
      <c r="G29" s="10" t="s">
        <v>62</v>
      </c>
      <c r="H29" s="11"/>
      <c r="I29" s="38"/>
      <c r="J29" s="11"/>
      <c r="K29" s="11"/>
      <c r="L29" s="11"/>
      <c r="M29" s="12"/>
    </row>
    <row r="30" spans="7:13" ht="18.75">
      <c r="G30" s="13" t="s">
        <v>234</v>
      </c>
      <c r="H30" s="14"/>
      <c r="I30" s="14">
        <f>1.01*20+E26/1000*(2500+1.805*20)</f>
        <v>29.58357</v>
      </c>
      <c r="J30" s="14" t="s">
        <v>25</v>
      </c>
      <c r="K30" s="14" t="s">
        <v>64</v>
      </c>
      <c r="L30" s="14"/>
      <c r="M30" s="15"/>
    </row>
    <row r="31" spans="1:6" ht="16.5" customHeight="1">
      <c r="A31" s="23" t="s">
        <v>168</v>
      </c>
      <c r="B31" t="s">
        <v>322</v>
      </c>
      <c r="D31" s="4" t="s">
        <v>229</v>
      </c>
      <c r="E31" s="8">
        <v>22</v>
      </c>
      <c r="F31" s="8" t="s">
        <v>94</v>
      </c>
    </row>
    <row r="32" spans="1:6" ht="15.75">
      <c r="A32" t="s">
        <v>251</v>
      </c>
      <c r="B32" t="s">
        <v>233</v>
      </c>
      <c r="E32" s="8"/>
      <c r="F32" s="8"/>
    </row>
    <row r="33" spans="2:6" ht="15.75">
      <c r="B33" t="s">
        <v>323</v>
      </c>
      <c r="F33" s="8"/>
    </row>
    <row r="34" spans="3:5" ht="18.75">
      <c r="C34" s="3" t="s">
        <v>148</v>
      </c>
      <c r="D34" t="s">
        <v>235</v>
      </c>
      <c r="E34" t="s">
        <v>239</v>
      </c>
    </row>
    <row r="35" ht="15.75">
      <c r="C35" s="3"/>
    </row>
    <row r="36" spans="1:8" ht="15.75">
      <c r="A36" t="s">
        <v>119</v>
      </c>
      <c r="H36" t="s">
        <v>136</v>
      </c>
    </row>
    <row r="37" ht="15.75">
      <c r="H37" t="s">
        <v>248</v>
      </c>
    </row>
    <row r="38" spans="1:20" ht="18.75">
      <c r="A38" t="s">
        <v>55</v>
      </c>
      <c r="B38" s="3" t="s">
        <v>53</v>
      </c>
      <c r="C38" t="s">
        <v>240</v>
      </c>
      <c r="D38" s="3" t="s">
        <v>242</v>
      </c>
      <c r="E38" s="33">
        <f>H14</f>
        <v>2.8093833403567916</v>
      </c>
      <c r="F38" t="s">
        <v>16</v>
      </c>
      <c r="H38" t="s">
        <v>247</v>
      </c>
      <c r="I38" s="5" t="s">
        <v>102</v>
      </c>
      <c r="J38">
        <v>2689.6</v>
      </c>
      <c r="K38" t="s">
        <v>25</v>
      </c>
      <c r="M38" s="32"/>
      <c r="N38" s="32"/>
      <c r="O38" s="32"/>
      <c r="P38" s="32"/>
      <c r="Q38" s="32"/>
      <c r="R38" s="32"/>
      <c r="S38" s="32"/>
      <c r="T38" s="32"/>
    </row>
    <row r="39" spans="4:5" ht="15.75">
      <c r="D39" s="3"/>
      <c r="E39" s="34"/>
    </row>
    <row r="40" spans="1:6" ht="18.75">
      <c r="A40" t="s">
        <v>237</v>
      </c>
      <c r="B40" s="3" t="s">
        <v>53</v>
      </c>
      <c r="C40" t="s">
        <v>236</v>
      </c>
      <c r="D40" s="3" t="s">
        <v>241</v>
      </c>
      <c r="E40" s="35">
        <f>E26/1000+C11/H14</f>
        <v>0.00597808</v>
      </c>
      <c r="F40" t="s">
        <v>238</v>
      </c>
    </row>
    <row r="41" spans="5:8" ht="18.75">
      <c r="E41" s="36">
        <f>E40*1000</f>
        <v>5.97808</v>
      </c>
      <c r="F41" t="s">
        <v>239</v>
      </c>
      <c r="H41" t="s">
        <v>244</v>
      </c>
    </row>
    <row r="42" spans="1:10" ht="18.75">
      <c r="A42" t="s">
        <v>325</v>
      </c>
      <c r="B42" s="3" t="s">
        <v>53</v>
      </c>
      <c r="C42" t="s">
        <v>324</v>
      </c>
      <c r="D42" s="3" t="s">
        <v>243</v>
      </c>
      <c r="E42" s="33">
        <f>E38*(E29-B21)-C11*J38</f>
        <v>26.332001775530273</v>
      </c>
      <c r="F42" t="s">
        <v>68</v>
      </c>
      <c r="G42" s="8"/>
      <c r="H42" s="3" t="s">
        <v>108</v>
      </c>
      <c r="I42">
        <v>36.5</v>
      </c>
      <c r="J42" t="s">
        <v>245</v>
      </c>
    </row>
    <row r="44" spans="10:16" ht="15.75">
      <c r="J44" s="10" t="s">
        <v>246</v>
      </c>
      <c r="K44" s="11"/>
      <c r="L44" s="11"/>
      <c r="M44" s="11"/>
      <c r="N44" s="11"/>
      <c r="O44" s="11"/>
      <c r="P44" s="12"/>
    </row>
    <row r="45" spans="10:16" ht="18.75">
      <c r="J45" s="13" t="s">
        <v>63</v>
      </c>
      <c r="K45" s="14"/>
      <c r="L45" s="14">
        <f>1.01*20+E41/1000*(2500+1.805*20)</f>
        <v>35.361008688</v>
      </c>
      <c r="M45" s="14" t="s">
        <v>25</v>
      </c>
      <c r="N45" s="14" t="s">
        <v>64</v>
      </c>
      <c r="O45" s="14"/>
      <c r="P45" s="15"/>
    </row>
    <row r="48" ht="15.75">
      <c r="A48" t="s">
        <v>252</v>
      </c>
    </row>
    <row r="49" spans="1:10" ht="15.75">
      <c r="A49" s="47"/>
      <c r="B49" s="48"/>
      <c r="C49" s="48"/>
      <c r="D49" s="48"/>
      <c r="E49" s="48"/>
      <c r="F49" s="48"/>
      <c r="G49" s="48"/>
      <c r="H49" s="48"/>
      <c r="I49" s="48"/>
      <c r="J49" s="48"/>
    </row>
    <row r="50" ht="15.75">
      <c r="A50" s="3"/>
    </row>
    <row r="51" spans="1:4" ht="18.75">
      <c r="A51" s="5" t="s">
        <v>111</v>
      </c>
      <c r="B51" t="s">
        <v>284</v>
      </c>
      <c r="C51" s="8">
        <f>L45-B21</f>
        <v>20.861008688</v>
      </c>
      <c r="D51" t="s">
        <v>113</v>
      </c>
    </row>
    <row r="52" spans="1:4" ht="17.25">
      <c r="A52" s="16" t="s">
        <v>110</v>
      </c>
      <c r="B52" t="s">
        <v>283</v>
      </c>
      <c r="C52" s="8">
        <f>E41-E26</f>
        <v>2.27808</v>
      </c>
      <c r="D52" t="s">
        <v>114</v>
      </c>
    </row>
    <row r="53" spans="1:4" ht="18.75">
      <c r="A53" s="5" t="s">
        <v>280</v>
      </c>
      <c r="B53" t="s">
        <v>285</v>
      </c>
      <c r="C53">
        <f>C51/C52</f>
        <v>9.157276604860233</v>
      </c>
      <c r="D53" t="s">
        <v>112</v>
      </c>
    </row>
  </sheetData>
  <sheetProtection/>
  <mergeCells count="1">
    <mergeCell ref="A49:J49"/>
  </mergeCells>
  <printOptions/>
  <pageMargins left="0.75" right="0.75" top="1" bottom="1" header="0.5" footer="0.5"/>
  <pageSetup fitToHeight="0" fitToWidth="1" horizontalDpi="600" verticalDpi="600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110" zoomScaleNormal="110" zoomScalePageLayoutView="0" workbookViewId="0" topLeftCell="A10">
      <selection activeCell="A51" sqref="A51:A54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264</v>
      </c>
    </row>
    <row r="2" ht="15.75">
      <c r="A2" s="37" t="s">
        <v>81</v>
      </c>
    </row>
    <row r="3" ht="15.75">
      <c r="A3" s="37" t="s">
        <v>88</v>
      </c>
    </row>
    <row r="4" ht="18.75">
      <c r="A4" s="37" t="s">
        <v>287</v>
      </c>
    </row>
    <row r="5" ht="18.75">
      <c r="A5" s="37" t="s">
        <v>288</v>
      </c>
    </row>
    <row r="6" ht="18.75">
      <c r="A6" s="37" t="s">
        <v>289</v>
      </c>
    </row>
    <row r="7" ht="15.75">
      <c r="A7" s="37"/>
    </row>
    <row r="9" ht="15.75">
      <c r="A9" t="s">
        <v>82</v>
      </c>
    </row>
    <row r="10" spans="1:9" ht="19.5">
      <c r="A10" t="s">
        <v>37</v>
      </c>
      <c r="B10">
        <v>6500</v>
      </c>
      <c r="C10" t="s">
        <v>35</v>
      </c>
      <c r="D10" s="8">
        <f>B10/3600</f>
        <v>1.8055555555555556</v>
      </c>
      <c r="E10" t="s">
        <v>78</v>
      </c>
      <c r="I10" s="8"/>
    </row>
    <row r="11" spans="1:2" ht="18.75">
      <c r="A11" t="s">
        <v>6</v>
      </c>
      <c r="B11" s="1">
        <v>0.6</v>
      </c>
    </row>
    <row r="12" spans="1:2" ht="18.75">
      <c r="A12" t="s">
        <v>7</v>
      </c>
      <c r="B12" s="3" t="s">
        <v>286</v>
      </c>
    </row>
    <row r="13" spans="1:2" ht="18.75">
      <c r="A13" t="s">
        <v>11</v>
      </c>
      <c r="B13" t="s">
        <v>15</v>
      </c>
    </row>
    <row r="14" spans="1:2" ht="18.75">
      <c r="A14" t="s">
        <v>10</v>
      </c>
      <c r="B14" t="s">
        <v>159</v>
      </c>
    </row>
    <row r="15" ht="15.75">
      <c r="A15" t="s">
        <v>92</v>
      </c>
    </row>
    <row r="16" spans="1:3" ht="18.75">
      <c r="A16" t="s">
        <v>79</v>
      </c>
      <c r="B16">
        <v>18</v>
      </c>
      <c r="C16" t="s">
        <v>94</v>
      </c>
    </row>
    <row r="20" ht="15.75">
      <c r="A20" t="s">
        <v>142</v>
      </c>
    </row>
    <row r="21" spans="1:10" ht="19.5">
      <c r="A21" t="s">
        <v>11</v>
      </c>
      <c r="B21" s="7">
        <v>0.905</v>
      </c>
      <c r="C21" t="s">
        <v>17</v>
      </c>
      <c r="D21" s="5" t="s">
        <v>36</v>
      </c>
      <c r="F21" s="3" t="s">
        <v>39</v>
      </c>
      <c r="G21" t="s">
        <v>40</v>
      </c>
      <c r="H21" s="8">
        <f>B10/3600/B21</f>
        <v>1.9950890116635973</v>
      </c>
      <c r="I21" t="s">
        <v>16</v>
      </c>
      <c r="J21" t="s">
        <v>16</v>
      </c>
    </row>
    <row r="22" ht="15.75">
      <c r="J22" s="5"/>
    </row>
    <row r="24" ht="15.75">
      <c r="A24" t="s">
        <v>83</v>
      </c>
    </row>
    <row r="25" spans="1:3" ht="18.75">
      <c r="A25" t="s">
        <v>19</v>
      </c>
      <c r="B25">
        <v>21.55</v>
      </c>
      <c r="C25" t="s">
        <v>24</v>
      </c>
    </row>
    <row r="26" spans="1:13" ht="15.75">
      <c r="A26" t="s">
        <v>46</v>
      </c>
      <c r="F26" s="5"/>
      <c r="G26" s="10" t="s">
        <v>246</v>
      </c>
      <c r="H26" s="11"/>
      <c r="I26" s="11"/>
      <c r="J26" s="11"/>
      <c r="K26" s="11"/>
      <c r="L26" s="11"/>
      <c r="M26" s="12"/>
    </row>
    <row r="27" spans="1:13" ht="18.75">
      <c r="A27" t="s">
        <v>22</v>
      </c>
      <c r="B27">
        <v>90.5</v>
      </c>
      <c r="C27" t="s">
        <v>25</v>
      </c>
      <c r="G27" s="13" t="s">
        <v>63</v>
      </c>
      <c r="H27" s="14"/>
      <c r="I27" s="14">
        <f>1.01*35+B25/1000*(2500+1.805*35)</f>
        <v>90.58642125</v>
      </c>
      <c r="J27" s="14" t="s">
        <v>25</v>
      </c>
      <c r="K27" s="14" t="s">
        <v>64</v>
      </c>
      <c r="L27" s="14"/>
      <c r="M27" s="15"/>
    </row>
    <row r="29" ht="15.75">
      <c r="A29" s="20" t="s">
        <v>95</v>
      </c>
    </row>
    <row r="31" ht="15.75">
      <c r="A31" t="s">
        <v>290</v>
      </c>
    </row>
    <row r="32" ht="15.75">
      <c r="A32" t="s">
        <v>144</v>
      </c>
    </row>
    <row r="33" ht="15.75">
      <c r="A33" t="s">
        <v>291</v>
      </c>
    </row>
    <row r="35" ht="15.75">
      <c r="A35" t="s">
        <v>146</v>
      </c>
    </row>
    <row r="37" ht="15.75">
      <c r="A37" t="s">
        <v>292</v>
      </c>
    </row>
    <row r="38" ht="15.75">
      <c r="A38" t="s">
        <v>293</v>
      </c>
    </row>
    <row r="40" spans="1:3" ht="18.75">
      <c r="A40" s="3" t="s">
        <v>97</v>
      </c>
      <c r="B40">
        <v>7.6</v>
      </c>
      <c r="C40" t="s">
        <v>24</v>
      </c>
    </row>
    <row r="41" spans="1:12" ht="18.75">
      <c r="A41" s="3" t="s">
        <v>98</v>
      </c>
      <c r="B41">
        <v>29</v>
      </c>
      <c r="C41" t="s">
        <v>25</v>
      </c>
      <c r="F41" s="10" t="s">
        <v>246</v>
      </c>
      <c r="G41" s="11"/>
      <c r="H41" s="11"/>
      <c r="I41" s="11"/>
      <c r="J41" s="11"/>
      <c r="K41" s="11"/>
      <c r="L41" s="12"/>
    </row>
    <row r="42" spans="1:12" ht="18.75">
      <c r="A42" s="3" t="s">
        <v>10</v>
      </c>
      <c r="B42">
        <v>10</v>
      </c>
      <c r="C42" t="s">
        <v>94</v>
      </c>
      <c r="F42" s="13" t="s">
        <v>63</v>
      </c>
      <c r="G42" s="14"/>
      <c r="H42" s="14">
        <f>1.01*10+B40/1000*(2500+1.805*10)</f>
        <v>29.237180000000002</v>
      </c>
      <c r="I42" s="14" t="s">
        <v>25</v>
      </c>
      <c r="J42" s="14" t="s">
        <v>64</v>
      </c>
      <c r="K42" s="14"/>
      <c r="L42" s="15"/>
    </row>
    <row r="44" ht="15.75">
      <c r="A44" t="s">
        <v>298</v>
      </c>
    </row>
    <row r="45" spans="1:8" ht="18.75">
      <c r="A45" t="s">
        <v>26</v>
      </c>
      <c r="D45" t="s">
        <v>84</v>
      </c>
      <c r="G45" s="8">
        <f>H21</f>
        <v>1.9950890116635973</v>
      </c>
      <c r="H45" t="s">
        <v>16</v>
      </c>
    </row>
    <row r="46" spans="1:8" ht="18.75">
      <c r="A46" s="4" t="s">
        <v>28</v>
      </c>
      <c r="D46" t="s">
        <v>85</v>
      </c>
      <c r="F46" s="37" t="s">
        <v>301</v>
      </c>
      <c r="G46" s="17">
        <f>G45*(B25-B40)/1000</f>
        <v>0.027831491712707185</v>
      </c>
      <c r="H46" t="s">
        <v>16</v>
      </c>
    </row>
    <row r="47" spans="1:19" ht="18.75">
      <c r="A47" t="s">
        <v>27</v>
      </c>
      <c r="D47" s="4" t="s">
        <v>86</v>
      </c>
      <c r="F47" s="37" t="s">
        <v>302</v>
      </c>
      <c r="G47" s="17">
        <f>G45*(B27-B41)-G46*K48</f>
        <v>121.52821662062615</v>
      </c>
      <c r="H47" t="s">
        <v>68</v>
      </c>
      <c r="J47" s="30" t="s">
        <v>299</v>
      </c>
      <c r="K47" s="30"/>
      <c r="L47" s="30"/>
      <c r="M47" s="30"/>
      <c r="N47" s="30"/>
      <c r="O47" s="30"/>
      <c r="P47" s="30"/>
      <c r="Q47" s="30"/>
      <c r="R47" s="30"/>
      <c r="S47" s="30"/>
    </row>
    <row r="48" spans="10:19" ht="18.75">
      <c r="J48" s="3" t="s">
        <v>102</v>
      </c>
      <c r="K48" s="42">
        <v>42.03</v>
      </c>
      <c r="L48" t="s">
        <v>25</v>
      </c>
      <c r="M48" t="s">
        <v>300</v>
      </c>
      <c r="N48" s="30"/>
      <c r="O48" s="30"/>
      <c r="P48" s="30"/>
      <c r="Q48" s="30"/>
      <c r="R48" s="30"/>
      <c r="S48" s="30"/>
    </row>
    <row r="49" spans="14:19" ht="15.75">
      <c r="N49" s="30"/>
      <c r="O49" s="30"/>
      <c r="P49" s="30"/>
      <c r="Q49" s="30"/>
      <c r="R49" s="30"/>
      <c r="S49" s="30"/>
    </row>
    <row r="50" ht="15.75">
      <c r="A50" s="20" t="s">
        <v>303</v>
      </c>
    </row>
    <row r="51" ht="15.75">
      <c r="A51" s="5" t="s">
        <v>294</v>
      </c>
    </row>
    <row r="52" ht="15.75">
      <c r="A52" s="5" t="s">
        <v>295</v>
      </c>
    </row>
    <row r="53" ht="15.75">
      <c r="A53" t="s">
        <v>149</v>
      </c>
    </row>
    <row r="54" spans="1:3" ht="18.75">
      <c r="A54" t="s">
        <v>104</v>
      </c>
      <c r="B54">
        <v>7.6</v>
      </c>
      <c r="C54" t="s">
        <v>24</v>
      </c>
    </row>
    <row r="55" spans="1:4" ht="15.75">
      <c r="A55" s="5" t="s">
        <v>151</v>
      </c>
      <c r="D55" t="s">
        <v>99</v>
      </c>
    </row>
    <row r="56" ht="18.75">
      <c r="A56" s="5" t="s">
        <v>104</v>
      </c>
    </row>
    <row r="57" ht="15.75">
      <c r="A57" t="s">
        <v>296</v>
      </c>
    </row>
    <row r="58" ht="15.75">
      <c r="A58" t="s">
        <v>297</v>
      </c>
    </row>
    <row r="59" spans="1:11" ht="18.75">
      <c r="A59" s="3" t="s">
        <v>108</v>
      </c>
      <c r="B59">
        <v>38</v>
      </c>
      <c r="E59" s="10" t="s">
        <v>246</v>
      </c>
      <c r="F59" s="11"/>
      <c r="G59" s="11"/>
      <c r="H59" s="11"/>
      <c r="I59" s="11"/>
      <c r="J59" s="11"/>
      <c r="K59" s="12"/>
    </row>
    <row r="60" spans="5:11" ht="18.75">
      <c r="E60" s="13" t="s">
        <v>63</v>
      </c>
      <c r="F60" s="14"/>
      <c r="G60" s="14">
        <f>1.01*B16+B40/1000*(2500+1.805*B16)</f>
        <v>37.426924</v>
      </c>
      <c r="H60" s="14" t="s">
        <v>25</v>
      </c>
      <c r="I60" s="14" t="s">
        <v>64</v>
      </c>
      <c r="J60" s="14"/>
      <c r="K60" s="15"/>
    </row>
    <row r="63" ht="15.75">
      <c r="A63" t="s">
        <v>263</v>
      </c>
    </row>
    <row r="64" spans="1:4" ht="18.75">
      <c r="A64" s="5" t="s">
        <v>111</v>
      </c>
      <c r="B64" t="s">
        <v>284</v>
      </c>
      <c r="C64">
        <f>B59-B27</f>
        <v>-52.5</v>
      </c>
      <c r="D64" t="s">
        <v>113</v>
      </c>
    </row>
    <row r="65" spans="1:4" ht="17.25">
      <c r="A65" s="16" t="s">
        <v>110</v>
      </c>
      <c r="B65" t="s">
        <v>283</v>
      </c>
      <c r="C65">
        <f>B54-B25</f>
        <v>-13.950000000000001</v>
      </c>
      <c r="D65" t="s">
        <v>114</v>
      </c>
    </row>
    <row r="66" spans="1:4" ht="18.75">
      <c r="A66" s="5" t="s">
        <v>280</v>
      </c>
      <c r="B66" t="s">
        <v>285</v>
      </c>
      <c r="C66" s="8">
        <f>C64/C65</f>
        <v>3.7634408602150535</v>
      </c>
      <c r="D66" t="s">
        <v>112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95" zoomScaleNormal="95" zoomScalePageLayoutView="0" workbookViewId="0" topLeftCell="A40">
      <selection activeCell="A69" sqref="A69:B71"/>
    </sheetView>
  </sheetViews>
  <sheetFormatPr defaultColWidth="11.00390625" defaultRowHeight="15.75"/>
  <cols>
    <col min="1" max="1" width="18.50390625" style="0" customWidth="1"/>
    <col min="2" max="2" width="14.00390625" style="0" customWidth="1"/>
    <col min="3" max="3" width="17.37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226</v>
      </c>
    </row>
    <row r="2" ht="15.75">
      <c r="A2" s="37" t="s">
        <v>115</v>
      </c>
    </row>
    <row r="4" spans="1:6" ht="15.75">
      <c r="A4" t="s">
        <v>5</v>
      </c>
      <c r="F4" t="s">
        <v>8</v>
      </c>
    </row>
    <row r="5" spans="1:10" ht="19.5">
      <c r="A5" t="s">
        <v>37</v>
      </c>
      <c r="B5">
        <v>3000</v>
      </c>
      <c r="C5" t="s">
        <v>35</v>
      </c>
      <c r="D5" s="8">
        <f>B5/3600</f>
        <v>0.8333333333333334</v>
      </c>
      <c r="E5" t="s">
        <v>78</v>
      </c>
      <c r="F5" t="s">
        <v>38</v>
      </c>
      <c r="G5">
        <v>1500</v>
      </c>
      <c r="H5" t="s">
        <v>35</v>
      </c>
      <c r="I5" s="8">
        <f>G5/3600</f>
        <v>0.4166666666666667</v>
      </c>
      <c r="J5" t="s">
        <v>78</v>
      </c>
    </row>
    <row r="6" spans="1:7" ht="18.75">
      <c r="A6" t="s">
        <v>6</v>
      </c>
      <c r="B6" s="1">
        <v>0.7</v>
      </c>
      <c r="F6" t="s">
        <v>9</v>
      </c>
      <c r="G6" s="1">
        <v>0.5</v>
      </c>
    </row>
    <row r="7" spans="1:7" ht="18.75">
      <c r="A7" t="s">
        <v>7</v>
      </c>
      <c r="B7" s="3" t="s">
        <v>116</v>
      </c>
      <c r="F7" t="s">
        <v>10</v>
      </c>
      <c r="G7">
        <v>20</v>
      </c>
    </row>
    <row r="8" spans="1:7" ht="18.75">
      <c r="A8" t="s">
        <v>11</v>
      </c>
      <c r="B8" t="s">
        <v>15</v>
      </c>
      <c r="F8" t="s">
        <v>12</v>
      </c>
      <c r="G8" t="s">
        <v>15</v>
      </c>
    </row>
    <row r="10" ht="15.75">
      <c r="A10" t="s">
        <v>122</v>
      </c>
    </row>
    <row r="12" ht="15.75">
      <c r="A12" s="37" t="s">
        <v>88</v>
      </c>
    </row>
    <row r="13" ht="15.75">
      <c r="A13" s="39" t="s">
        <v>259</v>
      </c>
    </row>
    <row r="14" ht="15.75">
      <c r="A14" s="39" t="s">
        <v>260</v>
      </c>
    </row>
    <row r="15" ht="15.75">
      <c r="A15" s="39" t="s">
        <v>261</v>
      </c>
    </row>
    <row r="18" ht="15.75">
      <c r="A18" t="s">
        <v>262</v>
      </c>
    </row>
    <row r="19" spans="1:10" ht="19.5">
      <c r="A19" t="s">
        <v>11</v>
      </c>
      <c r="B19">
        <f>0.791</f>
        <v>0.791</v>
      </c>
      <c r="C19" t="s">
        <v>17</v>
      </c>
      <c r="D19" s="5" t="s">
        <v>36</v>
      </c>
      <c r="F19" s="3" t="s">
        <v>39</v>
      </c>
      <c r="G19" t="s">
        <v>40</v>
      </c>
      <c r="H19" s="8">
        <f>B5/3600/B19</f>
        <v>1.0535187526337968</v>
      </c>
      <c r="I19" t="s">
        <v>16</v>
      </c>
      <c r="J19" t="s">
        <v>16</v>
      </c>
    </row>
    <row r="20" spans="1:10" ht="19.5">
      <c r="A20" t="s">
        <v>12</v>
      </c>
      <c r="B20">
        <v>0.84</v>
      </c>
      <c r="C20" t="s">
        <v>17</v>
      </c>
      <c r="D20" s="5" t="s">
        <v>36</v>
      </c>
      <c r="F20" s="3" t="s">
        <v>42</v>
      </c>
      <c r="G20" t="s">
        <v>41</v>
      </c>
      <c r="H20" s="8">
        <f>G5/3600/B20</f>
        <v>0.49603174603174605</v>
      </c>
      <c r="I20" t="s">
        <v>16</v>
      </c>
      <c r="J20" t="s">
        <v>16</v>
      </c>
    </row>
    <row r="22" spans="1:3" ht="18.75">
      <c r="A22" s="3" t="s">
        <v>39</v>
      </c>
      <c r="B22" s="18">
        <f>H19</f>
        <v>1.0535187526337968</v>
      </c>
      <c r="C22" t="s">
        <v>16</v>
      </c>
    </row>
    <row r="23" spans="1:3" ht="18.75">
      <c r="A23" s="3" t="s">
        <v>42</v>
      </c>
      <c r="B23" s="18">
        <f>H20</f>
        <v>0.49603174603174605</v>
      </c>
      <c r="C23" t="s">
        <v>16</v>
      </c>
    </row>
    <row r="25" ht="15.75">
      <c r="A25" t="s">
        <v>45</v>
      </c>
    </row>
    <row r="26" spans="1:3" ht="18.75">
      <c r="A26" t="s">
        <v>19</v>
      </c>
      <c r="B26">
        <v>3.7</v>
      </c>
      <c r="C26" t="s">
        <v>24</v>
      </c>
    </row>
    <row r="27" spans="1:3" ht="18.75">
      <c r="A27" t="s">
        <v>20</v>
      </c>
      <c r="B27">
        <v>7.2</v>
      </c>
      <c r="C27" t="s">
        <v>24</v>
      </c>
    </row>
    <row r="28" spans="1:6" ht="15.75">
      <c r="A28" t="s">
        <v>46</v>
      </c>
      <c r="F28" s="5"/>
    </row>
    <row r="29" spans="1:3" ht="18.75">
      <c r="A29" t="s">
        <v>22</v>
      </c>
      <c r="B29">
        <v>14.5</v>
      </c>
      <c r="C29" t="s">
        <v>25</v>
      </c>
    </row>
    <row r="30" spans="1:3" ht="18.75">
      <c r="A30" t="s">
        <v>23</v>
      </c>
      <c r="B30">
        <v>39</v>
      </c>
      <c r="C30" t="s">
        <v>25</v>
      </c>
    </row>
    <row r="32" ht="15.75">
      <c r="A32" t="s">
        <v>48</v>
      </c>
    </row>
    <row r="33" ht="15.75">
      <c r="A33" t="s">
        <v>30</v>
      </c>
    </row>
    <row r="35" spans="1:10" ht="18.75">
      <c r="A35" t="s">
        <v>26</v>
      </c>
      <c r="D35" t="s">
        <v>29</v>
      </c>
      <c r="G35" t="s">
        <v>44</v>
      </c>
      <c r="I35" s="8">
        <f>H19+H20</f>
        <v>1.5495504986655428</v>
      </c>
      <c r="J35" t="s">
        <v>16</v>
      </c>
    </row>
    <row r="36" spans="1:12" ht="18.75">
      <c r="A36" s="4" t="s">
        <v>28</v>
      </c>
      <c r="D36" t="s">
        <v>31</v>
      </c>
      <c r="G36" t="s">
        <v>33</v>
      </c>
      <c r="I36" s="8">
        <f>(B26*H19+H20*B27)/I35</f>
        <v>4.820396600566572</v>
      </c>
      <c r="J36" t="s">
        <v>24</v>
      </c>
      <c r="K36" s="19">
        <f>I36</f>
        <v>4.820396600566572</v>
      </c>
      <c r="L36" t="s">
        <v>24</v>
      </c>
    </row>
    <row r="37" spans="1:12" ht="18.75">
      <c r="A37" t="s">
        <v>27</v>
      </c>
      <c r="D37" t="s">
        <v>32</v>
      </c>
      <c r="G37" s="4" t="s">
        <v>34</v>
      </c>
      <c r="I37" s="8">
        <f>(B22*B29+B23*B30)/I35</f>
        <v>22.342776203966007</v>
      </c>
      <c r="J37" t="s">
        <v>25</v>
      </c>
      <c r="K37" s="19">
        <f>I37</f>
        <v>22.342776203966007</v>
      </c>
      <c r="L37" t="s">
        <v>25</v>
      </c>
    </row>
    <row r="40" ht="18.75">
      <c r="A40" t="s">
        <v>47</v>
      </c>
    </row>
    <row r="41" spans="1:2" ht="18.75">
      <c r="A41" t="s">
        <v>79</v>
      </c>
      <c r="B41" t="s">
        <v>118</v>
      </c>
    </row>
    <row r="43" spans="1:3" ht="15.75">
      <c r="A43" t="s">
        <v>134</v>
      </c>
      <c r="C43" t="s">
        <v>133</v>
      </c>
    </row>
    <row r="45" ht="18.75">
      <c r="A45" t="s">
        <v>135</v>
      </c>
    </row>
    <row r="46" spans="1:5" ht="18.75">
      <c r="A46" t="s">
        <v>125</v>
      </c>
      <c r="C46" s="3" t="s">
        <v>124</v>
      </c>
      <c r="D46">
        <v>9.5</v>
      </c>
      <c r="E46" t="s">
        <v>24</v>
      </c>
    </row>
    <row r="47" ht="15.75">
      <c r="A47" t="s">
        <v>119</v>
      </c>
    </row>
    <row r="49" spans="1:8" ht="18.75">
      <c r="A49" t="s">
        <v>55</v>
      </c>
      <c r="B49" t="s">
        <v>57</v>
      </c>
      <c r="D49" t="s">
        <v>56</v>
      </c>
      <c r="E49" t="s">
        <v>126</v>
      </c>
      <c r="F49" s="3" t="s">
        <v>56</v>
      </c>
      <c r="G49" s="8">
        <f>I35</f>
        <v>1.5495504986655428</v>
      </c>
      <c r="H49" t="s">
        <v>16</v>
      </c>
    </row>
    <row r="51" spans="1:6" ht="18.75">
      <c r="A51" t="s">
        <v>120</v>
      </c>
      <c r="B51" s="3" t="s">
        <v>53</v>
      </c>
      <c r="C51" t="s">
        <v>121</v>
      </c>
      <c r="D51" s="7">
        <f>I35*(D46/1000-I36/1000)</f>
        <v>0.007251281781149037</v>
      </c>
      <c r="E51" t="s">
        <v>16</v>
      </c>
      <c r="F51" s="3"/>
    </row>
    <row r="53" spans="1:3" ht="18.75">
      <c r="A53" t="s">
        <v>127</v>
      </c>
      <c r="B53" s="3" t="s">
        <v>53</v>
      </c>
      <c r="C53" t="s">
        <v>128</v>
      </c>
    </row>
    <row r="55" spans="1:10" ht="15.75">
      <c r="A55" t="s">
        <v>60</v>
      </c>
      <c r="D55" s="10" t="s">
        <v>246</v>
      </c>
      <c r="E55" s="11"/>
      <c r="F55" s="11"/>
      <c r="G55" s="11"/>
      <c r="H55" s="11"/>
      <c r="I55" s="11"/>
      <c r="J55" s="12"/>
    </row>
    <row r="56" spans="1:10" ht="18.75">
      <c r="A56" s="3" t="s">
        <v>61</v>
      </c>
      <c r="B56" s="24">
        <v>52.5</v>
      </c>
      <c r="C56" s="24" t="s">
        <v>25</v>
      </c>
      <c r="D56" s="13" t="s">
        <v>63</v>
      </c>
      <c r="E56" s="14"/>
      <c r="F56" s="14">
        <f>1.01*28+D46/1000*(2500+1.805*28)</f>
        <v>52.510130000000004</v>
      </c>
      <c r="G56" s="14" t="s">
        <v>25</v>
      </c>
      <c r="H56" s="14" t="s">
        <v>64</v>
      </c>
      <c r="I56" s="14"/>
      <c r="J56" s="15"/>
    </row>
    <row r="58" ht="15.75">
      <c r="A58" t="s">
        <v>132</v>
      </c>
    </row>
    <row r="60" spans="1:10" ht="15.75">
      <c r="A60" s="47" t="s">
        <v>136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3:5" ht="18.75">
      <c r="C61" s="5" t="s">
        <v>102</v>
      </c>
      <c r="D61" s="4">
        <v>2689.6</v>
      </c>
      <c r="E61" t="s">
        <v>25</v>
      </c>
    </row>
    <row r="62" ht="15.75">
      <c r="A62" s="3"/>
    </row>
    <row r="63" ht="15.75">
      <c r="A63" s="3" t="s">
        <v>130</v>
      </c>
    </row>
    <row r="64" spans="1:3" ht="18.75">
      <c r="A64" t="s">
        <v>131</v>
      </c>
      <c r="B64" s="8">
        <f>G49*(B56-K37)-D51*D61</f>
        <v>27.2270936929344</v>
      </c>
      <c r="C64" t="s">
        <v>68</v>
      </c>
    </row>
    <row r="65" ht="15.75">
      <c r="A65" s="3"/>
    </row>
    <row r="68" ht="15.75">
      <c r="A68" t="s">
        <v>263</v>
      </c>
    </row>
    <row r="69" spans="1:4" ht="18.75">
      <c r="A69" s="5" t="s">
        <v>111</v>
      </c>
      <c r="B69" t="s">
        <v>282</v>
      </c>
      <c r="C69" s="8">
        <f>B56-I37</f>
        <v>30.157223796033993</v>
      </c>
      <c r="D69" t="s">
        <v>113</v>
      </c>
    </row>
    <row r="70" spans="1:6" ht="17.25">
      <c r="A70" s="16" t="s">
        <v>110</v>
      </c>
      <c r="B70" t="s">
        <v>283</v>
      </c>
      <c r="C70" s="8">
        <f>D46-I36</f>
        <v>4.679603399433428</v>
      </c>
      <c r="D70" t="s">
        <v>114</v>
      </c>
      <c r="E70" s="3"/>
      <c r="F70" s="16"/>
    </row>
    <row r="71" spans="1:4" ht="18.75">
      <c r="A71" s="5" t="s">
        <v>280</v>
      </c>
      <c r="B71" t="s">
        <v>281</v>
      </c>
      <c r="C71" s="8">
        <f>C69/C70</f>
        <v>6.444397360615048</v>
      </c>
      <c r="D71" s="8" t="s">
        <v>112</v>
      </c>
    </row>
  </sheetData>
  <sheetProtection/>
  <mergeCells count="1">
    <mergeCell ref="A60:J60"/>
  </mergeCells>
  <printOptions/>
  <pageMargins left="0.75" right="0.75" top="1" bottom="1" header="0.5" footer="0.5"/>
  <pageSetup fitToHeight="0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="110" zoomScaleNormal="110" zoomScalePageLayoutView="0" workbookViewId="0" topLeftCell="A65">
      <selection activeCell="A61" activeCellId="1" sqref="A59 A61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264</v>
      </c>
    </row>
    <row r="2" ht="15.75">
      <c r="A2" s="37" t="s">
        <v>81</v>
      </c>
    </row>
    <row r="3" ht="15.75">
      <c r="A3" t="s">
        <v>88</v>
      </c>
    </row>
    <row r="4" ht="18.75">
      <c r="A4" t="s">
        <v>91</v>
      </c>
    </row>
    <row r="5" ht="18.75">
      <c r="A5" t="s">
        <v>89</v>
      </c>
    </row>
    <row r="6" ht="18.75">
      <c r="A6" t="s">
        <v>90</v>
      </c>
    </row>
    <row r="7" ht="15.75">
      <c r="A7" t="s">
        <v>141</v>
      </c>
    </row>
    <row r="9" ht="15.75">
      <c r="A9" t="s">
        <v>82</v>
      </c>
    </row>
    <row r="10" spans="1:9" ht="19.5">
      <c r="A10" t="s">
        <v>37</v>
      </c>
      <c r="B10">
        <v>4500</v>
      </c>
      <c r="C10" t="s">
        <v>35</v>
      </c>
      <c r="D10" s="8">
        <f>B10/3600</f>
        <v>1.25</v>
      </c>
      <c r="E10" t="s">
        <v>78</v>
      </c>
      <c r="I10" s="8"/>
    </row>
    <row r="11" spans="1:2" ht="18.75">
      <c r="A11" t="s">
        <v>6</v>
      </c>
      <c r="B11" s="1">
        <v>0.6</v>
      </c>
    </row>
    <row r="12" spans="1:2" ht="18.75">
      <c r="A12" t="s">
        <v>7</v>
      </c>
      <c r="B12" s="3" t="s">
        <v>138</v>
      </c>
    </row>
    <row r="13" spans="1:2" ht="18.75">
      <c r="A13" t="s">
        <v>11</v>
      </c>
      <c r="B13" t="s">
        <v>15</v>
      </c>
    </row>
    <row r="14" ht="15.75">
      <c r="A14" t="s">
        <v>92</v>
      </c>
    </row>
    <row r="15" spans="1:3" ht="18.75">
      <c r="A15" t="s">
        <v>79</v>
      </c>
      <c r="B15">
        <v>22</v>
      </c>
      <c r="C15" t="s">
        <v>94</v>
      </c>
    </row>
    <row r="16" ht="15.75">
      <c r="A16" t="s">
        <v>140</v>
      </c>
    </row>
    <row r="17" spans="1:2" ht="18.75">
      <c r="A17" t="s">
        <v>139</v>
      </c>
      <c r="B17" s="1">
        <v>0.5</v>
      </c>
    </row>
    <row r="20" ht="15.75">
      <c r="A20" t="s">
        <v>142</v>
      </c>
    </row>
    <row r="21" spans="1:10" ht="19.5">
      <c r="A21" t="s">
        <v>11</v>
      </c>
      <c r="B21" s="7">
        <v>0.873</v>
      </c>
      <c r="C21" t="s">
        <v>17</v>
      </c>
      <c r="D21" s="5" t="s">
        <v>36</v>
      </c>
      <c r="F21" s="3" t="s">
        <v>39</v>
      </c>
      <c r="G21" t="s">
        <v>40</v>
      </c>
      <c r="H21" s="8">
        <f>B10/3600/B21</f>
        <v>1.43184421534937</v>
      </c>
      <c r="I21" t="s">
        <v>16</v>
      </c>
      <c r="J21" t="s">
        <v>16</v>
      </c>
    </row>
    <row r="22" ht="15.75">
      <c r="J22" s="5"/>
    </row>
    <row r="24" ht="15.75">
      <c r="A24" t="s">
        <v>83</v>
      </c>
    </row>
    <row r="25" spans="1:3" ht="18.75">
      <c r="A25" t="s">
        <v>19</v>
      </c>
      <c r="B25">
        <v>14.25</v>
      </c>
      <c r="C25" t="s">
        <v>24</v>
      </c>
    </row>
    <row r="26" spans="1:13" ht="15.75">
      <c r="A26" t="s">
        <v>46</v>
      </c>
      <c r="F26" s="5"/>
      <c r="G26" s="10" t="s">
        <v>246</v>
      </c>
      <c r="H26" s="11"/>
      <c r="I26" s="11"/>
      <c r="J26" s="11"/>
      <c r="K26" s="11"/>
      <c r="L26" s="11"/>
      <c r="M26" s="12"/>
    </row>
    <row r="27" spans="1:13" ht="18.75">
      <c r="A27" t="s">
        <v>22</v>
      </c>
      <c r="B27">
        <v>64.5</v>
      </c>
      <c r="C27" t="s">
        <v>25</v>
      </c>
      <c r="G27" s="13" t="s">
        <v>63</v>
      </c>
      <c r="H27" s="14"/>
      <c r="I27" s="14">
        <f>1.01*28+B25/1000*(2500+1.805*28)</f>
        <v>64.625195</v>
      </c>
      <c r="J27" s="14" t="s">
        <v>25</v>
      </c>
      <c r="K27" s="14" t="s">
        <v>64</v>
      </c>
      <c r="L27" s="14"/>
      <c r="M27" s="15"/>
    </row>
    <row r="29" ht="15.75">
      <c r="A29" s="20" t="s">
        <v>95</v>
      </c>
    </row>
    <row r="31" ht="15.75">
      <c r="A31" t="s">
        <v>143</v>
      </c>
    </row>
    <row r="32" ht="15.75">
      <c r="A32" t="s">
        <v>144</v>
      </c>
    </row>
    <row r="33" ht="15.75">
      <c r="A33" t="s">
        <v>145</v>
      </c>
    </row>
    <row r="35" ht="15.75">
      <c r="A35" t="s">
        <v>146</v>
      </c>
    </row>
    <row r="37" ht="15.75">
      <c r="A37" t="s">
        <v>147</v>
      </c>
    </row>
    <row r="38" ht="15.75">
      <c r="A38" t="s">
        <v>225</v>
      </c>
    </row>
    <row r="39" spans="1:3" ht="18.75">
      <c r="A39" s="3" t="s">
        <v>148</v>
      </c>
      <c r="B39">
        <v>8.25</v>
      </c>
      <c r="C39" t="s">
        <v>24</v>
      </c>
    </row>
    <row r="41" ht="15.75">
      <c r="A41" t="s">
        <v>149</v>
      </c>
    </row>
    <row r="42" spans="1:11" ht="18.75">
      <c r="A42" t="s">
        <v>104</v>
      </c>
      <c r="B42">
        <f>B39</f>
        <v>8.25</v>
      </c>
      <c r="C42" t="s">
        <v>24</v>
      </c>
      <c r="D42" t="s">
        <v>99</v>
      </c>
      <c r="E42" s="10" t="s">
        <v>246</v>
      </c>
      <c r="F42" s="11"/>
      <c r="G42" s="11"/>
      <c r="H42" s="11"/>
      <c r="I42" s="11"/>
      <c r="J42" s="11"/>
      <c r="K42" s="12"/>
    </row>
    <row r="43" spans="1:11" ht="18.75">
      <c r="A43" s="5" t="s">
        <v>151</v>
      </c>
      <c r="E43" s="13" t="s">
        <v>63</v>
      </c>
      <c r="F43" s="14"/>
      <c r="G43" s="14">
        <f>1.01*10+B42/1000*(2500+1.805*10)</f>
        <v>30.873912500000003</v>
      </c>
      <c r="H43" s="14" t="s">
        <v>25</v>
      </c>
      <c r="I43" s="14" t="s">
        <v>64</v>
      </c>
      <c r="J43" s="14"/>
      <c r="K43" s="15"/>
    </row>
    <row r="44" ht="18.75">
      <c r="A44" s="5" t="s">
        <v>104</v>
      </c>
    </row>
    <row r="45" ht="15.75">
      <c r="A45" t="s">
        <v>150</v>
      </c>
    </row>
    <row r="46" ht="15.75">
      <c r="A46" t="s">
        <v>152</v>
      </c>
    </row>
    <row r="47" spans="1:3" ht="18.75">
      <c r="A47" s="3" t="s">
        <v>98</v>
      </c>
      <c r="B47">
        <v>32</v>
      </c>
      <c r="C47" t="s">
        <v>25</v>
      </c>
    </row>
    <row r="48" spans="1:3" ht="18.75">
      <c r="A48" s="3" t="s">
        <v>10</v>
      </c>
      <c r="B48">
        <v>11</v>
      </c>
      <c r="C48" t="s">
        <v>94</v>
      </c>
    </row>
    <row r="49" spans="1:8" ht="18.75">
      <c r="A49" t="s">
        <v>26</v>
      </c>
      <c r="D49" t="s">
        <v>84</v>
      </c>
      <c r="G49" s="8">
        <f>H21</f>
        <v>1.43184421534937</v>
      </c>
      <c r="H49" t="s">
        <v>16</v>
      </c>
    </row>
    <row r="50" spans="1:11" ht="18.75">
      <c r="A50" s="4" t="s">
        <v>28</v>
      </c>
      <c r="D50" t="s">
        <v>85</v>
      </c>
      <c r="I50" s="8"/>
      <c r="K50" s="9"/>
    </row>
    <row r="51" spans="1:11" ht="18.75">
      <c r="A51" t="s">
        <v>27</v>
      </c>
      <c r="D51" s="4" t="s">
        <v>86</v>
      </c>
      <c r="I51" s="8"/>
      <c r="K51" s="9"/>
    </row>
    <row r="53" spans="1:10" ht="15.75">
      <c r="A53" s="22" t="s">
        <v>153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5.75">
      <c r="A54" s="2" t="s">
        <v>0</v>
      </c>
      <c r="B54" s="22">
        <v>10</v>
      </c>
      <c r="C54" s="22" t="s">
        <v>21</v>
      </c>
      <c r="D54" s="22">
        <v>42.03</v>
      </c>
      <c r="E54" s="22"/>
      <c r="F54" s="22"/>
      <c r="G54" s="22"/>
      <c r="H54" s="22"/>
      <c r="I54" s="22"/>
      <c r="J54" s="22"/>
    </row>
    <row r="55" spans="1:10" ht="15.75">
      <c r="A55" s="2" t="s">
        <v>1</v>
      </c>
      <c r="B55" s="22">
        <v>15</v>
      </c>
      <c r="C55" s="22" t="s">
        <v>129</v>
      </c>
      <c r="D55" s="22">
        <v>62.96</v>
      </c>
      <c r="E55" s="22"/>
      <c r="F55" s="22"/>
      <c r="G55" s="22"/>
      <c r="H55" s="22"/>
      <c r="I55" s="22"/>
      <c r="J55" s="22"/>
    </row>
    <row r="56" spans="1:4" ht="18.75">
      <c r="A56" s="3" t="s">
        <v>102</v>
      </c>
      <c r="B56" s="21">
        <f>42.03+(11-10)/(15-10)*(62.96-42.03)</f>
        <v>46.216</v>
      </c>
      <c r="C56" t="s">
        <v>25</v>
      </c>
      <c r="D56" t="s">
        <v>154</v>
      </c>
    </row>
    <row r="58" ht="15.75">
      <c r="A58" t="s">
        <v>155</v>
      </c>
    </row>
    <row r="59" spans="1:3" ht="18.75">
      <c r="A59" t="s">
        <v>100</v>
      </c>
      <c r="B59" s="17">
        <f>G49*(B25/1000-B42/1000)</f>
        <v>0.00859106529209622</v>
      </c>
      <c r="C59" t="s">
        <v>16</v>
      </c>
    </row>
    <row r="60" ht="15.75">
      <c r="A60" t="s">
        <v>156</v>
      </c>
    </row>
    <row r="61" spans="1:3" ht="18.75">
      <c r="A61" s="4" t="s">
        <v>101</v>
      </c>
      <c r="B61" s="17">
        <f>G49*(B27-B47)-B59*B56</f>
        <v>46.13789232531501</v>
      </c>
      <c r="C61" t="s">
        <v>68</v>
      </c>
    </row>
    <row r="63" ht="15.75">
      <c r="A63" s="40" t="s">
        <v>103</v>
      </c>
    </row>
    <row r="64" spans="1:15" ht="18.75">
      <c r="A64" t="s">
        <v>90</v>
      </c>
      <c r="E64" t="s">
        <v>107</v>
      </c>
      <c r="I64" s="10" t="s">
        <v>62</v>
      </c>
      <c r="J64" s="11"/>
      <c r="K64" s="11"/>
      <c r="L64" s="11"/>
      <c r="M64" s="11"/>
      <c r="N64" s="11"/>
      <c r="O64" s="12"/>
    </row>
    <row r="65" spans="5:15" ht="18.75">
      <c r="E65" s="3" t="s">
        <v>108</v>
      </c>
      <c r="F65">
        <v>43</v>
      </c>
      <c r="G65" t="s">
        <v>25</v>
      </c>
      <c r="I65" s="13" t="s">
        <v>63</v>
      </c>
      <c r="J65" s="14"/>
      <c r="K65" s="14">
        <f>1.01*22+B39/1000*(2500+1.805*22)</f>
        <v>43.1726075</v>
      </c>
      <c r="L65" s="14" t="s">
        <v>25</v>
      </c>
      <c r="M65" s="14" t="s">
        <v>64</v>
      </c>
      <c r="N65" s="14"/>
      <c r="O65" s="15"/>
    </row>
    <row r="66" ht="15.75">
      <c r="A66" t="s">
        <v>265</v>
      </c>
    </row>
    <row r="67" spans="1:7" ht="18.75">
      <c r="A67" s="4" t="s">
        <v>28</v>
      </c>
      <c r="D67" t="s">
        <v>266</v>
      </c>
      <c r="F67" t="s">
        <v>104</v>
      </c>
      <c r="G67">
        <f>B42</f>
        <v>8.25</v>
      </c>
    </row>
    <row r="68" spans="1:8" ht="18.75">
      <c r="A68" t="s">
        <v>27</v>
      </c>
      <c r="D68" s="4" t="s">
        <v>105</v>
      </c>
      <c r="F68" s="4" t="s">
        <v>106</v>
      </c>
      <c r="G68" s="8">
        <f>G49*(F65-B47)</f>
        <v>15.75028636884307</v>
      </c>
      <c r="H68" t="s">
        <v>68</v>
      </c>
    </row>
    <row r="71" ht="15.75">
      <c r="A71" t="s">
        <v>263</v>
      </c>
    </row>
    <row r="72" spans="1:4" ht="18.75">
      <c r="A72" s="5" t="s">
        <v>111</v>
      </c>
      <c r="B72" t="s">
        <v>284</v>
      </c>
      <c r="C72">
        <f>F65-B27</f>
        <v>-21.5</v>
      </c>
      <c r="D72" t="s">
        <v>113</v>
      </c>
    </row>
    <row r="73" spans="1:4" ht="17.25">
      <c r="A73" s="16" t="s">
        <v>110</v>
      </c>
      <c r="B73" t="s">
        <v>283</v>
      </c>
      <c r="C73">
        <f>G67-B25</f>
        <v>-6</v>
      </c>
      <c r="D73" t="s">
        <v>114</v>
      </c>
    </row>
    <row r="74" spans="1:4" ht="18.75">
      <c r="A74" s="5" t="s">
        <v>280</v>
      </c>
      <c r="B74" t="s">
        <v>285</v>
      </c>
      <c r="C74" s="8">
        <f>C72/C73</f>
        <v>3.5833333333333335</v>
      </c>
      <c r="D74" t="s">
        <v>112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10" zoomScaleNormal="110" zoomScalePageLayoutView="0" workbookViewId="0" topLeftCell="A32">
      <selection activeCell="B47" sqref="B47"/>
    </sheetView>
  </sheetViews>
  <sheetFormatPr defaultColWidth="11.00390625" defaultRowHeight="15.75"/>
  <cols>
    <col min="1" max="1" width="38.625" style="0" customWidth="1"/>
    <col min="2" max="2" width="12.00390625" style="0" customWidth="1"/>
    <col min="3" max="3" width="17.375" style="0" customWidth="1"/>
    <col min="4" max="4" width="12.375" style="0" customWidth="1"/>
    <col min="5" max="5" width="15.5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267</v>
      </c>
    </row>
    <row r="2" ht="15.75">
      <c r="A2" s="37" t="s">
        <v>157</v>
      </c>
    </row>
    <row r="3" ht="15.75">
      <c r="A3" s="37"/>
    </row>
    <row r="4" spans="1:6" ht="15.75">
      <c r="A4" s="37" t="s">
        <v>158</v>
      </c>
      <c r="F4" t="s">
        <v>88</v>
      </c>
    </row>
    <row r="5" spans="1:9" ht="19.5">
      <c r="A5" t="s">
        <v>37</v>
      </c>
      <c r="B5">
        <v>3000</v>
      </c>
      <c r="C5" t="s">
        <v>35</v>
      </c>
      <c r="D5" s="8">
        <f>B5/3600</f>
        <v>0.8333333333333334</v>
      </c>
      <c r="E5" t="s">
        <v>78</v>
      </c>
      <c r="F5" t="s">
        <v>160</v>
      </c>
      <c r="I5" s="8"/>
    </row>
    <row r="6" spans="1:7" ht="18.75">
      <c r="A6" t="s">
        <v>6</v>
      </c>
      <c r="B6" s="1">
        <v>0.7</v>
      </c>
      <c r="F6" t="s">
        <v>79</v>
      </c>
      <c r="G6" s="1"/>
    </row>
    <row r="7" spans="1:6" ht="18.75">
      <c r="A7" t="s">
        <v>7</v>
      </c>
      <c r="B7" s="3" t="s">
        <v>159</v>
      </c>
      <c r="F7" t="s">
        <v>89</v>
      </c>
    </row>
    <row r="8" spans="1:2" ht="18.75">
      <c r="A8" t="s">
        <v>11</v>
      </c>
      <c r="B8" t="s">
        <v>15</v>
      </c>
    </row>
    <row r="9" spans="1:2" ht="18.75">
      <c r="A9" t="s">
        <v>10</v>
      </c>
      <c r="B9">
        <v>32</v>
      </c>
    </row>
    <row r="10" spans="1:2" ht="18.75">
      <c r="A10" t="s">
        <v>161</v>
      </c>
      <c r="B10">
        <v>20</v>
      </c>
    </row>
    <row r="11" spans="1:2" ht="18.75">
      <c r="A11" t="s">
        <v>139</v>
      </c>
      <c r="B11" s="1">
        <v>1</v>
      </c>
    </row>
    <row r="12" ht="15.75">
      <c r="A12" s="37" t="s">
        <v>272</v>
      </c>
    </row>
    <row r="13" spans="1:2" ht="15.75">
      <c r="A13" t="s">
        <v>269</v>
      </c>
      <c r="B13" t="s">
        <v>160</v>
      </c>
    </row>
    <row r="14" spans="1:2" ht="18.75">
      <c r="A14" t="s">
        <v>270</v>
      </c>
      <c r="B14" s="5" t="s">
        <v>89</v>
      </c>
    </row>
    <row r="15" spans="1:2" ht="18.75">
      <c r="A15" t="s">
        <v>271</v>
      </c>
      <c r="B15" t="s">
        <v>79</v>
      </c>
    </row>
    <row r="17" ht="15.75">
      <c r="A17" t="s">
        <v>273</v>
      </c>
    </row>
    <row r="18" spans="1:3" ht="19.5">
      <c r="A18" t="s">
        <v>11</v>
      </c>
      <c r="B18">
        <f>0.808</f>
        <v>0.808</v>
      </c>
      <c r="C18" t="s">
        <v>17</v>
      </c>
    </row>
    <row r="19" spans="1:8" ht="15.75">
      <c r="A19" s="5" t="s">
        <v>36</v>
      </c>
      <c r="H19" s="8"/>
    </row>
    <row r="20" spans="1:8" ht="18.75">
      <c r="A20" s="3" t="s">
        <v>39</v>
      </c>
      <c r="B20" t="s">
        <v>40</v>
      </c>
      <c r="E20" s="8"/>
      <c r="H20" s="8"/>
    </row>
    <row r="21" spans="1:8" ht="15.75">
      <c r="A21" s="5"/>
      <c r="B21" s="3"/>
      <c r="E21" s="8"/>
      <c r="H21" s="8"/>
    </row>
    <row r="22" spans="1:3" ht="18.75">
      <c r="A22" s="3" t="s">
        <v>39</v>
      </c>
      <c r="B22" s="18">
        <f>D5/B18</f>
        <v>1.0313531353135312</v>
      </c>
      <c r="C22" t="s">
        <v>16</v>
      </c>
    </row>
    <row r="24" ht="15.75">
      <c r="A24" t="s">
        <v>162</v>
      </c>
    </row>
    <row r="25" spans="1:3" ht="18.75">
      <c r="A25" t="s">
        <v>19</v>
      </c>
      <c r="B25">
        <v>5.4</v>
      </c>
      <c r="C25" t="s">
        <v>24</v>
      </c>
    </row>
    <row r="26" spans="1:3" ht="18.75">
      <c r="A26" t="s">
        <v>163</v>
      </c>
      <c r="B26">
        <v>5.4</v>
      </c>
      <c r="C26" t="s">
        <v>24</v>
      </c>
    </row>
    <row r="28" spans="1:6" ht="15.75">
      <c r="A28" t="s">
        <v>46</v>
      </c>
      <c r="F28" s="5"/>
    </row>
    <row r="29" spans="1:3" ht="18.75">
      <c r="A29" t="s">
        <v>22</v>
      </c>
      <c r="B29">
        <v>23.6</v>
      </c>
      <c r="C29" t="s">
        <v>25</v>
      </c>
    </row>
    <row r="30" spans="1:3" ht="18.75">
      <c r="A30" t="s">
        <v>23</v>
      </c>
      <c r="B30">
        <v>46</v>
      </c>
      <c r="C30" t="s">
        <v>25</v>
      </c>
    </row>
    <row r="32" ht="15.75">
      <c r="A32" t="s">
        <v>164</v>
      </c>
    </row>
    <row r="34" ht="18.75">
      <c r="A34" t="s">
        <v>165</v>
      </c>
    </row>
    <row r="35" spans="1:6" ht="18.75">
      <c r="A35" s="23" t="s">
        <v>166</v>
      </c>
      <c r="B35" t="s">
        <v>167</v>
      </c>
      <c r="D35" t="s">
        <v>170</v>
      </c>
      <c r="E35" s="5">
        <f>B26</f>
        <v>5.4</v>
      </c>
      <c r="F35" t="s">
        <v>24</v>
      </c>
    </row>
    <row r="36" spans="1:6" ht="18.75">
      <c r="A36" s="23" t="s">
        <v>168</v>
      </c>
      <c r="B36" t="s">
        <v>169</v>
      </c>
      <c r="D36" s="4" t="s">
        <v>171</v>
      </c>
      <c r="E36" s="5">
        <f>B30</f>
        <v>46</v>
      </c>
      <c r="F36" t="s">
        <v>25</v>
      </c>
    </row>
    <row r="37" ht="15.75">
      <c r="E37" s="5"/>
    </row>
    <row r="38" spans="1:5" ht="15.75">
      <c r="A38" s="23" t="s">
        <v>174</v>
      </c>
      <c r="E38" s="5"/>
    </row>
    <row r="39" spans="1:5" ht="15.75">
      <c r="A39" s="23" t="s">
        <v>175</v>
      </c>
      <c r="E39" s="5"/>
    </row>
    <row r="40" spans="1:5" ht="15.75">
      <c r="A40" s="23" t="s">
        <v>176</v>
      </c>
      <c r="E40" s="5"/>
    </row>
    <row r="41" spans="1:5" ht="18.75">
      <c r="A41" t="s">
        <v>148</v>
      </c>
      <c r="B41">
        <v>11.7</v>
      </c>
      <c r="C41" t="s">
        <v>24</v>
      </c>
      <c r="E41" s="5"/>
    </row>
    <row r="42" spans="1:10" ht="15.75">
      <c r="A42" s="47" t="s">
        <v>173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5.75">
      <c r="A43" s="2"/>
      <c r="B43" s="22"/>
      <c r="C43" s="22"/>
      <c r="D43" s="22"/>
      <c r="E43" s="22"/>
      <c r="F43" s="22"/>
      <c r="G43" s="22"/>
      <c r="H43" s="22"/>
      <c r="I43" s="22"/>
      <c r="J43" s="22"/>
    </row>
    <row r="44" spans="1:6" ht="18.75">
      <c r="A44" t="s">
        <v>172</v>
      </c>
      <c r="D44" s="5" t="s">
        <v>102</v>
      </c>
      <c r="E44">
        <v>88.86</v>
      </c>
      <c r="F44" t="s">
        <v>25</v>
      </c>
    </row>
    <row r="45" spans="1:5" ht="15.75">
      <c r="A45" s="23"/>
      <c r="D45" s="4"/>
      <c r="E45" s="5"/>
    </row>
    <row r="46" ht="15.75">
      <c r="A46" t="s">
        <v>119</v>
      </c>
    </row>
    <row r="48" spans="1:7" ht="18.75">
      <c r="A48" t="s">
        <v>55</v>
      </c>
      <c r="B48" t="s">
        <v>57</v>
      </c>
      <c r="D48" t="s">
        <v>56</v>
      </c>
      <c r="F48" s="3"/>
      <c r="G48" s="8"/>
    </row>
    <row r="50" spans="1:6" ht="18.75">
      <c r="A50" t="s">
        <v>120</v>
      </c>
      <c r="B50" s="3" t="s">
        <v>53</v>
      </c>
      <c r="C50" t="s">
        <v>121</v>
      </c>
      <c r="D50" s="7">
        <f>B22*(B41-E35)/1000</f>
        <v>0.006497524752475246</v>
      </c>
      <c r="E50" t="s">
        <v>16</v>
      </c>
      <c r="F50" s="3"/>
    </row>
    <row r="52" spans="1:5" ht="18.75">
      <c r="A52" t="s">
        <v>177</v>
      </c>
      <c r="B52" s="3" t="s">
        <v>53</v>
      </c>
      <c r="C52" t="s">
        <v>178</v>
      </c>
      <c r="D52" s="8">
        <f>B22*(E36-B29)-D50*E44</f>
        <v>22.524940181518147</v>
      </c>
      <c r="E52" t="s">
        <v>68</v>
      </c>
    </row>
    <row r="54" ht="15.75">
      <c r="A54" t="s">
        <v>314</v>
      </c>
    </row>
    <row r="55" spans="1:2" ht="18.75">
      <c r="A55" t="s">
        <v>79</v>
      </c>
      <c r="B55" t="s">
        <v>318</v>
      </c>
    </row>
    <row r="58" ht="15.75">
      <c r="A58" s="5" t="s">
        <v>252</v>
      </c>
    </row>
    <row r="59" spans="1:4" ht="18.75">
      <c r="A59" s="5" t="s">
        <v>111</v>
      </c>
      <c r="B59" t="s">
        <v>284</v>
      </c>
      <c r="C59" s="8">
        <f>E36-B29</f>
        <v>22.4</v>
      </c>
      <c r="D59" t="s">
        <v>113</v>
      </c>
    </row>
    <row r="60" spans="1:4" ht="17.25">
      <c r="A60" s="16" t="s">
        <v>110</v>
      </c>
      <c r="B60" t="s">
        <v>283</v>
      </c>
      <c r="C60" s="8">
        <f>B41-B25</f>
        <v>6.299999999999999</v>
      </c>
      <c r="D60" t="s">
        <v>114</v>
      </c>
    </row>
    <row r="61" spans="1:4" ht="18.75">
      <c r="A61" s="5" t="s">
        <v>280</v>
      </c>
      <c r="B61" t="s">
        <v>285</v>
      </c>
      <c r="C61" s="8">
        <f>C59/C60</f>
        <v>3.555555555555556</v>
      </c>
      <c r="D61" t="s">
        <v>112</v>
      </c>
    </row>
  </sheetData>
  <sheetProtection/>
  <mergeCells count="1">
    <mergeCell ref="A42:J42"/>
  </mergeCells>
  <printOptions/>
  <pageMargins left="0.75" right="0.75" top="1" bottom="1" header="0.5" footer="0.5"/>
  <pageSetup fitToHeight="0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H1" sqref="H1"/>
    </sheetView>
  </sheetViews>
  <sheetFormatPr defaultColWidth="11.00390625" defaultRowHeight="15.75"/>
  <cols>
    <col min="1" max="1" width="12.375" style="0" customWidth="1"/>
    <col min="2" max="2" width="12.00390625" style="0" customWidth="1"/>
    <col min="3" max="4" width="11.00390625" style="0" customWidth="1"/>
    <col min="5" max="5" width="16.00390625" style="0" customWidth="1"/>
    <col min="6" max="6" width="18.50390625" style="0" customWidth="1"/>
    <col min="7" max="7" width="11.875" style="0" customWidth="1"/>
    <col min="8" max="8" width="13.875" style="0" customWidth="1"/>
  </cols>
  <sheetData>
    <row r="1" ht="15.75">
      <c r="A1" s="37" t="s">
        <v>310</v>
      </c>
    </row>
    <row r="2" ht="15.75">
      <c r="A2" s="37" t="s">
        <v>315</v>
      </c>
    </row>
    <row r="3" ht="15.75">
      <c r="A3" s="37" t="s">
        <v>88</v>
      </c>
    </row>
    <row r="4" ht="18.75">
      <c r="A4" t="s">
        <v>91</v>
      </c>
    </row>
    <row r="5" ht="18.75">
      <c r="A5" t="s">
        <v>89</v>
      </c>
    </row>
    <row r="6" ht="18.75">
      <c r="A6" t="s">
        <v>90</v>
      </c>
    </row>
    <row r="8" ht="15.75">
      <c r="A8" t="s">
        <v>82</v>
      </c>
    </row>
    <row r="9" spans="1:9" ht="19.5">
      <c r="A9" t="s">
        <v>37</v>
      </c>
      <c r="B9">
        <v>1500</v>
      </c>
      <c r="C9" t="s">
        <v>35</v>
      </c>
      <c r="D9" s="8">
        <f>B9/3600</f>
        <v>0.4166666666666667</v>
      </c>
      <c r="E9" t="s">
        <v>78</v>
      </c>
      <c r="I9" s="8"/>
    </row>
    <row r="10" spans="1:2" ht="18.75">
      <c r="A10" t="s">
        <v>6</v>
      </c>
      <c r="B10" s="1">
        <v>0.6</v>
      </c>
    </row>
    <row r="11" spans="1:2" ht="18.75">
      <c r="A11" t="s">
        <v>7</v>
      </c>
      <c r="B11" s="3" t="s">
        <v>179</v>
      </c>
    </row>
    <row r="12" spans="1:2" ht="18.75">
      <c r="A12" t="s">
        <v>11</v>
      </c>
      <c r="B12" t="s">
        <v>15</v>
      </c>
    </row>
    <row r="14" ht="15.75">
      <c r="A14" t="s">
        <v>93</v>
      </c>
    </row>
    <row r="15" spans="1:3" ht="18.75">
      <c r="A15" t="s">
        <v>10</v>
      </c>
      <c r="B15">
        <v>13</v>
      </c>
      <c r="C15" t="s">
        <v>94</v>
      </c>
    </row>
    <row r="16" ht="15.75">
      <c r="A16" t="s">
        <v>123</v>
      </c>
    </row>
    <row r="17" spans="1:10" ht="19.5">
      <c r="A17" t="s">
        <v>11</v>
      </c>
      <c r="B17" s="7">
        <v>0.898</v>
      </c>
      <c r="C17" t="s">
        <v>17</v>
      </c>
      <c r="D17" s="5" t="s">
        <v>36</v>
      </c>
      <c r="F17" s="3" t="s">
        <v>39</v>
      </c>
      <c r="G17" t="s">
        <v>40</v>
      </c>
      <c r="H17" s="8">
        <f>B9/3600/B17</f>
        <v>0.4639940608760208</v>
      </c>
      <c r="I17" t="s">
        <v>16</v>
      </c>
      <c r="J17" t="s">
        <v>16</v>
      </c>
    </row>
    <row r="18" ht="15.75">
      <c r="J18" s="5"/>
    </row>
    <row r="20" ht="15.75">
      <c r="A20" t="s">
        <v>83</v>
      </c>
    </row>
    <row r="21" spans="1:3" ht="18.75">
      <c r="A21" t="s">
        <v>19</v>
      </c>
      <c r="B21">
        <v>20.3</v>
      </c>
      <c r="C21" t="s">
        <v>24</v>
      </c>
    </row>
    <row r="22" spans="1:13" ht="15.75">
      <c r="A22" t="s">
        <v>46</v>
      </c>
      <c r="F22" s="5"/>
      <c r="G22" s="24"/>
      <c r="H22" s="24"/>
      <c r="I22" s="24"/>
      <c r="J22" s="24"/>
      <c r="K22" s="24"/>
      <c r="L22" s="24"/>
      <c r="M22" s="24"/>
    </row>
    <row r="23" spans="1:13" ht="18.75">
      <c r="A23" t="s">
        <v>22</v>
      </c>
      <c r="B23">
        <v>86.5</v>
      </c>
      <c r="C23" t="s">
        <v>25</v>
      </c>
      <c r="G23" s="24"/>
      <c r="H23" s="24"/>
      <c r="I23" s="24"/>
      <c r="J23" s="24"/>
      <c r="K23" s="24"/>
      <c r="L23" s="24"/>
      <c r="M23" s="24"/>
    </row>
    <row r="25" ht="15.75">
      <c r="A25" t="s">
        <v>95</v>
      </c>
    </row>
    <row r="26" ht="15.75">
      <c r="A26" t="s">
        <v>87</v>
      </c>
    </row>
    <row r="27" ht="15.75">
      <c r="A27" t="s">
        <v>96</v>
      </c>
    </row>
    <row r="28" spans="1:11" ht="18.75">
      <c r="A28" t="s">
        <v>97</v>
      </c>
      <c r="B28">
        <v>9.4</v>
      </c>
      <c r="C28" t="s">
        <v>24</v>
      </c>
      <c r="D28" t="s">
        <v>99</v>
      </c>
      <c r="E28" s="10" t="s">
        <v>62</v>
      </c>
      <c r="F28" s="11"/>
      <c r="G28" s="11"/>
      <c r="H28" s="11"/>
      <c r="I28" s="11"/>
      <c r="J28" s="11"/>
      <c r="K28" s="12"/>
    </row>
    <row r="29" spans="1:11" ht="18.75">
      <c r="A29" t="s">
        <v>98</v>
      </c>
      <c r="B29">
        <v>37</v>
      </c>
      <c r="C29" t="s">
        <v>25</v>
      </c>
      <c r="E29" s="13" t="s">
        <v>63</v>
      </c>
      <c r="F29" s="14"/>
      <c r="G29" s="14">
        <f>1.01*13+B28/1000*(2500+1.805*13)</f>
        <v>36.850571</v>
      </c>
      <c r="H29" s="14" t="s">
        <v>25</v>
      </c>
      <c r="I29" s="14" t="s">
        <v>64</v>
      </c>
      <c r="J29" s="14"/>
      <c r="K29" s="15"/>
    </row>
    <row r="31" spans="1:8" ht="18.75">
      <c r="A31" t="s">
        <v>26</v>
      </c>
      <c r="D31" t="s">
        <v>84</v>
      </c>
      <c r="G31" s="8">
        <f>H17</f>
        <v>0.4639940608760208</v>
      </c>
      <c r="H31" t="s">
        <v>16</v>
      </c>
    </row>
    <row r="32" spans="1:11" ht="18.75">
      <c r="A32" s="4" t="s">
        <v>28</v>
      </c>
      <c r="D32" t="s">
        <v>85</v>
      </c>
      <c r="F32" t="s">
        <v>100</v>
      </c>
      <c r="G32" s="17">
        <f>G31*(B21/1000-B28/1000)</f>
        <v>0.0050575352635486275</v>
      </c>
      <c r="H32" t="s">
        <v>16</v>
      </c>
      <c r="I32" s="8" t="s">
        <v>183</v>
      </c>
      <c r="K32" s="9"/>
    </row>
    <row r="33" spans="1:11" ht="18.75">
      <c r="A33" t="s">
        <v>27</v>
      </c>
      <c r="D33" s="4" t="s">
        <v>86</v>
      </c>
      <c r="F33" s="4" t="s">
        <v>101</v>
      </c>
      <c r="G33" s="17">
        <f>G31*(B23-B29)-G32*B36</f>
        <v>22.691625278396437</v>
      </c>
      <c r="H33" t="s">
        <v>68</v>
      </c>
      <c r="I33" s="8" t="s">
        <v>184</v>
      </c>
      <c r="K33" s="9"/>
    </row>
    <row r="35" spans="1:10" ht="15.75">
      <c r="A35" s="47" t="s">
        <v>180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8.75">
      <c r="A36" s="3" t="s">
        <v>102</v>
      </c>
      <c r="B36" s="21">
        <f>H38</f>
        <v>54.588</v>
      </c>
      <c r="C36" t="s">
        <v>25</v>
      </c>
      <c r="D36" t="s">
        <v>181</v>
      </c>
      <c r="G36" s="2" t="s">
        <v>0</v>
      </c>
      <c r="H36" s="22">
        <v>10</v>
      </c>
      <c r="I36" s="22" t="s">
        <v>21</v>
      </c>
      <c r="J36" s="22">
        <v>42.03</v>
      </c>
    </row>
    <row r="37" spans="7:10" ht="15.75">
      <c r="G37" s="2" t="s">
        <v>1</v>
      </c>
      <c r="H37" s="22">
        <v>15</v>
      </c>
      <c r="I37" s="22" t="s">
        <v>129</v>
      </c>
      <c r="J37" s="22">
        <v>62.96</v>
      </c>
    </row>
    <row r="38" spans="7:10" ht="18.75">
      <c r="G38" s="3" t="s">
        <v>102</v>
      </c>
      <c r="H38" s="21">
        <f>42.03+(13-10)/(15-10)*(62.96-42.03)</f>
        <v>54.588</v>
      </c>
      <c r="I38" t="s">
        <v>25</v>
      </c>
      <c r="J38" t="s">
        <v>181</v>
      </c>
    </row>
    <row r="40" ht="15.75">
      <c r="A40" t="s">
        <v>186</v>
      </c>
    </row>
    <row r="41" ht="15.75">
      <c r="A41" t="s">
        <v>189</v>
      </c>
    </row>
    <row r="42" ht="15.75">
      <c r="A42" t="s">
        <v>182</v>
      </c>
    </row>
    <row r="43" spans="1:6" ht="15.75">
      <c r="A43" t="s">
        <v>187</v>
      </c>
      <c r="F43" t="s">
        <v>188</v>
      </c>
    </row>
    <row r="44" spans="1:10" ht="19.5">
      <c r="A44" t="s">
        <v>190</v>
      </c>
      <c r="B44" s="8">
        <f>D9</f>
        <v>0.4166666666666667</v>
      </c>
      <c r="C44" t="s">
        <v>78</v>
      </c>
      <c r="D44" s="8"/>
      <c r="F44" t="s">
        <v>191</v>
      </c>
      <c r="G44">
        <v>800</v>
      </c>
      <c r="H44" t="s">
        <v>35</v>
      </c>
      <c r="I44">
        <f>G44/3600</f>
        <v>0.2222222222222222</v>
      </c>
      <c r="J44" t="s">
        <v>78</v>
      </c>
    </row>
    <row r="45" spans="1:8" ht="18.75">
      <c r="A45" t="s">
        <v>9</v>
      </c>
      <c r="B45" s="1">
        <v>1</v>
      </c>
      <c r="F45" t="s">
        <v>139</v>
      </c>
      <c r="G45">
        <v>70</v>
      </c>
      <c r="H45" t="s">
        <v>185</v>
      </c>
    </row>
    <row r="46" spans="1:7" ht="18.75">
      <c r="A46" t="s">
        <v>10</v>
      </c>
      <c r="B46" s="3" t="s">
        <v>194</v>
      </c>
      <c r="F46" t="s">
        <v>79</v>
      </c>
      <c r="G46" t="s">
        <v>195</v>
      </c>
    </row>
    <row r="47" spans="1:8" ht="19.5">
      <c r="A47" t="s">
        <v>97</v>
      </c>
      <c r="B47">
        <v>9.4</v>
      </c>
      <c r="C47" t="s">
        <v>24</v>
      </c>
      <c r="F47" t="s">
        <v>192</v>
      </c>
      <c r="G47">
        <v>0.859</v>
      </c>
      <c r="H47" t="s">
        <v>17</v>
      </c>
    </row>
    <row r="48" spans="1:8" ht="18.75">
      <c r="A48" t="s">
        <v>2</v>
      </c>
      <c r="B48" s="8">
        <f>H17</f>
        <v>0.4639940608760208</v>
      </c>
      <c r="C48" t="s">
        <v>16</v>
      </c>
      <c r="F48" t="s">
        <v>148</v>
      </c>
      <c r="G48">
        <v>13.2</v>
      </c>
      <c r="H48" t="s">
        <v>24</v>
      </c>
    </row>
    <row r="49" spans="1:8" ht="18.75">
      <c r="A49" t="s">
        <v>98</v>
      </c>
      <c r="B49">
        <v>37</v>
      </c>
      <c r="C49" t="s">
        <v>25</v>
      </c>
      <c r="F49" t="s">
        <v>193</v>
      </c>
      <c r="G49">
        <f>I44/G47</f>
        <v>0.2586987453110852</v>
      </c>
      <c r="H49" t="s">
        <v>16</v>
      </c>
    </row>
    <row r="50" spans="6:8" ht="18.75">
      <c r="F50" t="s">
        <v>108</v>
      </c>
      <c r="G50">
        <v>57</v>
      </c>
      <c r="H50" t="s">
        <v>25</v>
      </c>
    </row>
    <row r="51" ht="15.75">
      <c r="A51" t="s">
        <v>30</v>
      </c>
    </row>
    <row r="53" spans="1:9" ht="18.75">
      <c r="A53" t="s">
        <v>26</v>
      </c>
      <c r="D53" t="s">
        <v>196</v>
      </c>
      <c r="G53" s="5" t="s">
        <v>199</v>
      </c>
      <c r="H53" s="8">
        <f>G49+B48</f>
        <v>0.7226928061871061</v>
      </c>
      <c r="I53" t="s">
        <v>16</v>
      </c>
    </row>
    <row r="54" spans="1:11" ht="18.75">
      <c r="A54" s="4" t="s">
        <v>28</v>
      </c>
      <c r="D54" t="s">
        <v>197</v>
      </c>
      <c r="F54" s="5" t="s">
        <v>200</v>
      </c>
      <c r="H54" s="8">
        <f>(B48*B47+G48*G49)/H53</f>
        <v>10.760267078578902</v>
      </c>
      <c r="I54" t="s">
        <v>24</v>
      </c>
      <c r="K54" s="9"/>
    </row>
    <row r="55" spans="1:11" ht="18.75">
      <c r="A55" t="s">
        <v>27</v>
      </c>
      <c r="D55" t="s">
        <v>198</v>
      </c>
      <c r="F55" s="41" t="s">
        <v>201</v>
      </c>
      <c r="H55" s="8">
        <f>(B48*B29+G49*59.5)/H53</f>
        <v>45.05421296526981</v>
      </c>
      <c r="I55" t="s">
        <v>25</v>
      </c>
      <c r="K55" s="9"/>
    </row>
    <row r="57" spans="8:19" ht="15.75"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8:19" ht="15.75"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</sheetData>
  <sheetProtection/>
  <mergeCells count="1">
    <mergeCell ref="A35:J35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110" zoomScaleNormal="110" zoomScalePageLayoutView="0" workbookViewId="0" topLeftCell="A50">
      <selection activeCell="H15" sqref="H15"/>
    </sheetView>
  </sheetViews>
  <sheetFormatPr defaultColWidth="11.00390625" defaultRowHeight="15.75"/>
  <cols>
    <col min="1" max="1" width="18.50390625" style="0" customWidth="1"/>
    <col min="2" max="2" width="13.375" style="0" customWidth="1"/>
    <col min="3" max="3" width="19.5039062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ht="15.75">
      <c r="A1" s="37" t="s">
        <v>268</v>
      </c>
    </row>
    <row r="2" ht="15.75">
      <c r="A2" s="37" t="s">
        <v>320</v>
      </c>
    </row>
    <row r="4" spans="1:6" ht="15.75">
      <c r="A4" s="40" t="s">
        <v>5</v>
      </c>
      <c r="F4" s="40" t="s">
        <v>8</v>
      </c>
    </row>
    <row r="5" spans="1:10" ht="19.5">
      <c r="A5" t="s">
        <v>37</v>
      </c>
      <c r="B5">
        <v>4000</v>
      </c>
      <c r="C5" t="s">
        <v>35</v>
      </c>
      <c r="D5" s="8">
        <f>B5/3600</f>
        <v>1.1111111111111112</v>
      </c>
      <c r="E5" t="s">
        <v>78</v>
      </c>
      <c r="F5" t="s">
        <v>38</v>
      </c>
      <c r="G5">
        <v>2500</v>
      </c>
      <c r="H5" t="s">
        <v>35</v>
      </c>
      <c r="I5" s="8">
        <f>G5/3600</f>
        <v>0.6944444444444444</v>
      </c>
      <c r="J5" t="s">
        <v>78</v>
      </c>
    </row>
    <row r="6" spans="1:7" ht="18.75">
      <c r="A6" t="s">
        <v>6</v>
      </c>
      <c r="B6" s="1">
        <v>0.7</v>
      </c>
      <c r="F6" t="s">
        <v>9</v>
      </c>
      <c r="G6" s="1">
        <v>0.6</v>
      </c>
    </row>
    <row r="7" spans="1:7" ht="18.75">
      <c r="A7" t="s">
        <v>7</v>
      </c>
      <c r="B7" s="3" t="s">
        <v>116</v>
      </c>
      <c r="F7" t="s">
        <v>10</v>
      </c>
      <c r="G7">
        <v>24</v>
      </c>
    </row>
    <row r="8" spans="1:7" ht="18.75">
      <c r="A8" t="s">
        <v>11</v>
      </c>
      <c r="B8" t="s">
        <v>15</v>
      </c>
      <c r="F8" t="s">
        <v>12</v>
      </c>
      <c r="G8" t="s">
        <v>15</v>
      </c>
    </row>
    <row r="10" ht="15.75">
      <c r="A10" t="s">
        <v>274</v>
      </c>
    </row>
    <row r="12" ht="15.75">
      <c r="A12" s="37" t="s">
        <v>88</v>
      </c>
    </row>
    <row r="13" spans="1:4" ht="18.75">
      <c r="A13" s="37" t="s">
        <v>203</v>
      </c>
      <c r="D13" t="s">
        <v>275</v>
      </c>
    </row>
    <row r="14" spans="1:4" ht="18.75">
      <c r="A14" s="37" t="s">
        <v>204</v>
      </c>
      <c r="D14" t="s">
        <v>276</v>
      </c>
    </row>
    <row r="15" spans="1:4" ht="18.75">
      <c r="A15" s="37" t="s">
        <v>205</v>
      </c>
      <c r="D15" t="s">
        <v>277</v>
      </c>
    </row>
    <row r="17" ht="15.75">
      <c r="A17" t="s">
        <v>202</v>
      </c>
    </row>
    <row r="20" ht="15.75">
      <c r="A20" t="s">
        <v>117</v>
      </c>
    </row>
    <row r="21" spans="1:10" ht="19.5">
      <c r="A21" t="s">
        <v>11</v>
      </c>
      <c r="B21">
        <f>0.792</f>
        <v>0.792</v>
      </c>
      <c r="C21" t="s">
        <v>17</v>
      </c>
      <c r="D21" s="5" t="s">
        <v>36</v>
      </c>
      <c r="F21" s="3" t="s">
        <v>39</v>
      </c>
      <c r="G21" t="s">
        <v>40</v>
      </c>
      <c r="H21" s="8">
        <f>B5/3600/B21</f>
        <v>1.4029180695847363</v>
      </c>
      <c r="I21" t="s">
        <v>16</v>
      </c>
      <c r="J21" t="s">
        <v>16</v>
      </c>
    </row>
    <row r="22" spans="1:10" ht="19.5">
      <c r="A22" t="s">
        <v>12</v>
      </c>
      <c r="B22">
        <v>0.857</v>
      </c>
      <c r="C22" t="s">
        <v>17</v>
      </c>
      <c r="D22" s="5" t="s">
        <v>36</v>
      </c>
      <c r="F22" s="3" t="s">
        <v>42</v>
      </c>
      <c r="G22" t="s">
        <v>41</v>
      </c>
      <c r="H22" s="8">
        <f>G5/3600/B22</f>
        <v>0.8103202385582782</v>
      </c>
      <c r="I22" t="s">
        <v>16</v>
      </c>
      <c r="J22" t="s">
        <v>16</v>
      </c>
    </row>
    <row r="24" spans="1:3" ht="18.75">
      <c r="A24" s="3" t="s">
        <v>39</v>
      </c>
      <c r="B24" s="18">
        <f>H21</f>
        <v>1.4029180695847363</v>
      </c>
      <c r="C24" t="s">
        <v>16</v>
      </c>
    </row>
    <row r="25" spans="1:3" ht="18.75">
      <c r="A25" s="3" t="s">
        <v>42</v>
      </c>
      <c r="B25" s="18">
        <f>H22</f>
        <v>0.8103202385582782</v>
      </c>
      <c r="C25" t="s">
        <v>16</v>
      </c>
    </row>
    <row r="27" ht="15.75">
      <c r="A27" t="s">
        <v>45</v>
      </c>
    </row>
    <row r="28" spans="1:3" ht="18.75">
      <c r="A28" t="s">
        <v>19</v>
      </c>
      <c r="B28">
        <v>3.8</v>
      </c>
      <c r="C28" t="s">
        <v>24</v>
      </c>
    </row>
    <row r="29" spans="1:3" ht="18.75">
      <c r="A29" t="s">
        <v>20</v>
      </c>
      <c r="B29">
        <v>11.4</v>
      </c>
      <c r="C29" t="s">
        <v>24</v>
      </c>
    </row>
    <row r="30" spans="1:11" ht="15.75">
      <c r="A30" t="s">
        <v>46</v>
      </c>
      <c r="E30" s="10" t="s">
        <v>62</v>
      </c>
      <c r="F30" s="11"/>
      <c r="G30" s="11"/>
      <c r="H30" s="11"/>
      <c r="I30" s="11"/>
      <c r="J30" s="11"/>
      <c r="K30" s="12"/>
    </row>
    <row r="31" spans="1:11" ht="18.75">
      <c r="A31" t="s">
        <v>22</v>
      </c>
      <c r="B31">
        <v>15</v>
      </c>
      <c r="C31" t="s">
        <v>25</v>
      </c>
      <c r="E31" s="13" t="s">
        <v>63</v>
      </c>
      <c r="F31" s="14"/>
      <c r="G31" s="14">
        <f>1.01*24+B29/1000*(2500+1.805*24)</f>
        <v>53.23384800000001</v>
      </c>
      <c r="H31" s="14" t="s">
        <v>25</v>
      </c>
      <c r="I31" s="14" t="s">
        <v>64</v>
      </c>
      <c r="J31" s="14"/>
      <c r="K31" s="15"/>
    </row>
    <row r="32" spans="1:3" ht="18.75">
      <c r="A32" t="s">
        <v>23</v>
      </c>
      <c r="B32">
        <v>53</v>
      </c>
      <c r="C32" t="s">
        <v>25</v>
      </c>
    </row>
    <row r="34" ht="15.75">
      <c r="A34" t="s">
        <v>48</v>
      </c>
    </row>
    <row r="35" ht="15.75">
      <c r="A35" t="s">
        <v>30</v>
      </c>
    </row>
    <row r="37" spans="1:10" ht="18.75">
      <c r="A37" t="s">
        <v>26</v>
      </c>
      <c r="D37" t="s">
        <v>29</v>
      </c>
      <c r="G37" t="s">
        <v>44</v>
      </c>
      <c r="I37" s="8">
        <f>H21+H22</f>
        <v>2.2132383081430147</v>
      </c>
      <c r="J37" t="s">
        <v>16</v>
      </c>
    </row>
    <row r="38" spans="1:12" ht="18.75">
      <c r="A38" s="4" t="s">
        <v>28</v>
      </c>
      <c r="D38" t="s">
        <v>31</v>
      </c>
      <c r="G38" t="s">
        <v>33</v>
      </c>
      <c r="I38" s="8">
        <f>(B28*H21+H22*B29)/I37</f>
        <v>6.582544378698224</v>
      </c>
      <c r="J38" t="s">
        <v>24</v>
      </c>
      <c r="K38" s="19">
        <f>I38</f>
        <v>6.582544378698224</v>
      </c>
      <c r="L38" t="s">
        <v>24</v>
      </c>
    </row>
    <row r="39" spans="1:12" ht="18.75">
      <c r="A39" t="s">
        <v>27</v>
      </c>
      <c r="D39" t="s">
        <v>32</v>
      </c>
      <c r="G39" s="4" t="s">
        <v>34</v>
      </c>
      <c r="I39" s="8">
        <f>(B24*B31+B25*B32)/I37</f>
        <v>28.91272189349112</v>
      </c>
      <c r="J39" t="s">
        <v>25</v>
      </c>
      <c r="K39" s="19">
        <f>I39</f>
        <v>28.91272189349112</v>
      </c>
      <c r="L39" t="s">
        <v>25</v>
      </c>
    </row>
    <row r="42" ht="18.75">
      <c r="A42" t="s">
        <v>47</v>
      </c>
    </row>
    <row r="43" spans="1:2" ht="18.75">
      <c r="A43" t="s">
        <v>79</v>
      </c>
      <c r="B43" t="s">
        <v>206</v>
      </c>
    </row>
    <row r="45" spans="1:3" ht="15.75">
      <c r="A45" t="s">
        <v>207</v>
      </c>
      <c r="B45" s="25" t="s">
        <v>208</v>
      </c>
      <c r="C45" s="23"/>
    </row>
    <row r="47" ht="18.75">
      <c r="A47" t="s">
        <v>220</v>
      </c>
    </row>
    <row r="48" spans="1:4" ht="15.75">
      <c r="A48" t="s">
        <v>209</v>
      </c>
      <c r="B48" s="8">
        <f>K39</f>
        <v>28.91272189349112</v>
      </c>
      <c r="C48" t="s">
        <v>25</v>
      </c>
      <c r="D48" t="s">
        <v>210</v>
      </c>
    </row>
    <row r="49" ht="15.75">
      <c r="A49" t="s">
        <v>278</v>
      </c>
    </row>
    <row r="50" spans="1:3" ht="18.75">
      <c r="A50" t="s">
        <v>67</v>
      </c>
      <c r="B50">
        <v>7.7</v>
      </c>
      <c r="C50" t="s">
        <v>24</v>
      </c>
    </row>
    <row r="51" spans="1:3" ht="18.75">
      <c r="A51" t="s">
        <v>276</v>
      </c>
      <c r="B51">
        <v>10</v>
      </c>
      <c r="C51" t="s">
        <v>94</v>
      </c>
    </row>
    <row r="53" ht="15.75">
      <c r="A53" t="s">
        <v>279</v>
      </c>
    </row>
    <row r="54" spans="1:8" ht="18.75">
      <c r="A54" t="s">
        <v>55</v>
      </c>
      <c r="B54" t="s">
        <v>57</v>
      </c>
      <c r="D54" t="s">
        <v>56</v>
      </c>
      <c r="E54" t="s">
        <v>126</v>
      </c>
      <c r="F54" s="3" t="s">
        <v>56</v>
      </c>
      <c r="G54" s="8">
        <f>I37</f>
        <v>2.2132383081430147</v>
      </c>
      <c r="H54" t="s">
        <v>16</v>
      </c>
    </row>
    <row r="56" spans="1:6" ht="18.75">
      <c r="A56" t="s">
        <v>120</v>
      </c>
      <c r="B56" s="3" t="s">
        <v>53</v>
      </c>
      <c r="C56" t="s">
        <v>121</v>
      </c>
      <c r="D56" s="7">
        <f>I37*(B50/1000-I38/1000)</f>
        <v>0.0024731955887148447</v>
      </c>
      <c r="E56" t="s">
        <v>16</v>
      </c>
      <c r="F56" s="3"/>
    </row>
    <row r="57" ht="15.75">
      <c r="A57" s="4"/>
    </row>
    <row r="60" ht="15.75">
      <c r="A60" t="s">
        <v>263</v>
      </c>
    </row>
    <row r="61" spans="1:4" ht="15.75">
      <c r="A61" s="5" t="s">
        <v>111</v>
      </c>
      <c r="B61" t="s">
        <v>137</v>
      </c>
      <c r="C61" s="8">
        <v>0</v>
      </c>
      <c r="D61" t="s">
        <v>113</v>
      </c>
    </row>
    <row r="62" spans="1:4" ht="15.75">
      <c r="A62" s="16" t="s">
        <v>110</v>
      </c>
      <c r="B62" t="s">
        <v>109</v>
      </c>
      <c r="C62" s="8">
        <f>B50-B28</f>
        <v>3.9000000000000004</v>
      </c>
      <c r="D62" t="s">
        <v>114</v>
      </c>
    </row>
    <row r="63" spans="1:4" ht="18.75">
      <c r="A63" s="5" t="s">
        <v>280</v>
      </c>
      <c r="B63" t="s">
        <v>281</v>
      </c>
      <c r="C63">
        <f>C61/C62</f>
        <v>0</v>
      </c>
      <c r="D63" t="s">
        <v>112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110" zoomScaleNormal="110" zoomScalePageLayoutView="0" workbookViewId="0" topLeftCell="A25">
      <selection activeCell="B17" sqref="B17"/>
    </sheetView>
  </sheetViews>
  <sheetFormatPr defaultColWidth="11.00390625" defaultRowHeight="15.75"/>
  <cols>
    <col min="1" max="1" width="18.50390625" style="0" customWidth="1"/>
    <col min="2" max="2" width="14.50390625" style="0" customWidth="1"/>
    <col min="3" max="3" width="18.625" style="0" customWidth="1"/>
    <col min="4" max="4" width="12.375" style="0" customWidth="1"/>
    <col min="5" max="5" width="16.00390625" style="0" customWidth="1"/>
    <col min="6" max="6" width="11.00390625" style="0" customWidth="1"/>
    <col min="7" max="7" width="11.875" style="0" customWidth="1"/>
    <col min="8" max="8" width="13.875" style="0" customWidth="1"/>
  </cols>
  <sheetData>
    <row r="1" spans="1:8" ht="15.75">
      <c r="A1" s="37" t="s">
        <v>311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320</v>
      </c>
      <c r="B2" s="37"/>
      <c r="C2" s="37"/>
      <c r="D2" s="37"/>
      <c r="E2" s="37"/>
      <c r="F2" s="37"/>
      <c r="G2" s="37"/>
      <c r="H2" s="37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40" t="s">
        <v>5</v>
      </c>
      <c r="B4" s="40"/>
      <c r="C4" s="40"/>
      <c r="D4" s="40"/>
      <c r="E4" s="40"/>
      <c r="F4" s="40" t="s">
        <v>8</v>
      </c>
      <c r="G4" s="40"/>
      <c r="H4" s="40"/>
    </row>
    <row r="5" spans="1:10" ht="19.5">
      <c r="A5" t="s">
        <v>37</v>
      </c>
      <c r="B5">
        <v>4000</v>
      </c>
      <c r="C5" t="s">
        <v>35</v>
      </c>
      <c r="D5" s="8">
        <f>B5/3600</f>
        <v>1.1111111111111112</v>
      </c>
      <c r="E5" t="s">
        <v>78</v>
      </c>
      <c r="F5" t="s">
        <v>38</v>
      </c>
      <c r="G5">
        <v>2500</v>
      </c>
      <c r="H5" t="s">
        <v>35</v>
      </c>
      <c r="I5" s="8">
        <f>G5/3600</f>
        <v>0.6944444444444444</v>
      </c>
      <c r="J5" t="s">
        <v>78</v>
      </c>
    </row>
    <row r="6" spans="1:7" ht="18.75">
      <c r="A6" t="s">
        <v>6</v>
      </c>
      <c r="B6" s="1">
        <v>0.5</v>
      </c>
      <c r="F6" t="s">
        <v>9</v>
      </c>
      <c r="G6" s="1">
        <v>0.3</v>
      </c>
    </row>
    <row r="7" spans="1:7" ht="18.75">
      <c r="A7" t="s">
        <v>7</v>
      </c>
      <c r="B7" s="3" t="s">
        <v>159</v>
      </c>
      <c r="F7" t="s">
        <v>10</v>
      </c>
      <c r="G7" s="3" t="s">
        <v>213</v>
      </c>
    </row>
    <row r="8" spans="1:7" ht="18.75">
      <c r="A8" t="s">
        <v>11</v>
      </c>
      <c r="B8" t="s">
        <v>15</v>
      </c>
      <c r="F8" t="s">
        <v>12</v>
      </c>
      <c r="G8" t="s">
        <v>15</v>
      </c>
    </row>
    <row r="12" ht="15.75">
      <c r="A12" t="s">
        <v>88</v>
      </c>
    </row>
    <row r="13" spans="1:5" ht="18.75">
      <c r="A13" t="s">
        <v>203</v>
      </c>
      <c r="D13" t="s">
        <v>79</v>
      </c>
      <c r="E13" t="s">
        <v>139</v>
      </c>
    </row>
    <row r="14" spans="1:4" ht="18.75">
      <c r="A14" t="s">
        <v>204</v>
      </c>
      <c r="D14" t="s">
        <v>319</v>
      </c>
    </row>
    <row r="15" spans="1:4" ht="18.75">
      <c r="A15" t="s">
        <v>205</v>
      </c>
      <c r="D15" t="s">
        <v>89</v>
      </c>
    </row>
    <row r="17" ht="15.75">
      <c r="A17" t="s">
        <v>321</v>
      </c>
    </row>
    <row r="20" ht="15.75">
      <c r="A20" t="s">
        <v>117</v>
      </c>
    </row>
    <row r="21" spans="1:10" ht="19.5">
      <c r="A21" t="s">
        <v>11</v>
      </c>
      <c r="B21">
        <v>0.807</v>
      </c>
      <c r="C21" t="s">
        <v>17</v>
      </c>
      <c r="D21" s="5" t="s">
        <v>36</v>
      </c>
      <c r="F21" s="3" t="s">
        <v>39</v>
      </c>
      <c r="G21" t="s">
        <v>40</v>
      </c>
      <c r="H21" s="8">
        <f>B5/3600/B21</f>
        <v>1.3768415255404103</v>
      </c>
      <c r="I21" t="s">
        <v>16</v>
      </c>
      <c r="J21" t="s">
        <v>16</v>
      </c>
    </row>
    <row r="22" spans="1:10" ht="19.5">
      <c r="A22" t="s">
        <v>12</v>
      </c>
      <c r="B22">
        <v>0.852</v>
      </c>
      <c r="C22" t="s">
        <v>17</v>
      </c>
      <c r="D22" s="5" t="s">
        <v>36</v>
      </c>
      <c r="F22" s="3" t="s">
        <v>42</v>
      </c>
      <c r="G22" t="s">
        <v>41</v>
      </c>
      <c r="H22" s="8">
        <f>G5/3600/B22</f>
        <v>0.815075639019301</v>
      </c>
      <c r="I22" t="s">
        <v>16</v>
      </c>
      <c r="J22" t="s">
        <v>16</v>
      </c>
    </row>
    <row r="24" spans="1:3" ht="18.75">
      <c r="A24" s="3" t="s">
        <v>39</v>
      </c>
      <c r="B24" s="18">
        <f>H21</f>
        <v>1.3768415255404103</v>
      </c>
      <c r="C24" t="s">
        <v>16</v>
      </c>
    </row>
    <row r="25" spans="1:3" ht="18.75">
      <c r="A25" s="3" t="s">
        <v>42</v>
      </c>
      <c r="B25" s="18">
        <f>H22</f>
        <v>0.815075639019301</v>
      </c>
      <c r="C25" t="s">
        <v>16</v>
      </c>
    </row>
    <row r="27" ht="15.75">
      <c r="A27" t="s">
        <v>45</v>
      </c>
    </row>
    <row r="28" spans="1:3" ht="18.75">
      <c r="A28" t="s">
        <v>19</v>
      </c>
      <c r="B28">
        <v>3.8</v>
      </c>
      <c r="C28" t="s">
        <v>24</v>
      </c>
    </row>
    <row r="29" spans="1:3" ht="18.75">
      <c r="A29" t="s">
        <v>20</v>
      </c>
      <c r="B29">
        <v>5.8</v>
      </c>
      <c r="C29" t="s">
        <v>24</v>
      </c>
    </row>
    <row r="30" ht="15.75">
      <c r="A30" t="s">
        <v>46</v>
      </c>
    </row>
    <row r="31" spans="1:11" ht="18.75">
      <c r="A31" t="s">
        <v>22</v>
      </c>
      <c r="B31">
        <v>19.8</v>
      </c>
      <c r="C31" t="s">
        <v>25</v>
      </c>
      <c r="E31" s="10" t="s">
        <v>62</v>
      </c>
      <c r="F31" s="11"/>
      <c r="G31" s="11"/>
      <c r="H31" s="11"/>
      <c r="I31" s="11"/>
      <c r="J31" s="11"/>
      <c r="K31" s="12"/>
    </row>
    <row r="32" spans="1:11" ht="18.75">
      <c r="A32" t="s">
        <v>23</v>
      </c>
      <c r="B32">
        <v>40</v>
      </c>
      <c r="C32" t="s">
        <v>25</v>
      </c>
      <c r="E32" s="13" t="s">
        <v>214</v>
      </c>
      <c r="F32" s="14"/>
      <c r="G32" s="14">
        <f>1.01*10+B28/1000*(2500+1.805*10)</f>
        <v>19.668590000000002</v>
      </c>
      <c r="H32" s="14" t="s">
        <v>25</v>
      </c>
      <c r="I32" s="14" t="s">
        <v>64</v>
      </c>
      <c r="J32" s="14"/>
      <c r="K32" s="15"/>
    </row>
    <row r="34" ht="15.75">
      <c r="A34" t="s">
        <v>48</v>
      </c>
    </row>
    <row r="35" ht="15.75">
      <c r="A35" t="s">
        <v>30</v>
      </c>
    </row>
    <row r="37" spans="1:10" ht="18.75">
      <c r="A37" t="s">
        <v>26</v>
      </c>
      <c r="D37" t="s">
        <v>29</v>
      </c>
      <c r="G37" t="s">
        <v>44</v>
      </c>
      <c r="I37" s="8">
        <f>H21+H22</f>
        <v>2.1919171645597113</v>
      </c>
      <c r="J37" t="s">
        <v>16</v>
      </c>
    </row>
    <row r="38" spans="1:12" ht="18.75">
      <c r="A38" s="4" t="s">
        <v>28</v>
      </c>
      <c r="D38" t="s">
        <v>31</v>
      </c>
      <c r="G38" t="s">
        <v>33</v>
      </c>
      <c r="I38" s="8">
        <f>(B28*H21+H22*B29)/I37</f>
        <v>4.54371025711916</v>
      </c>
      <c r="J38" t="s">
        <v>24</v>
      </c>
      <c r="K38" s="19">
        <f>I38</f>
        <v>4.54371025711916</v>
      </c>
      <c r="L38" t="s">
        <v>24</v>
      </c>
    </row>
    <row r="39" spans="1:12" ht="18.75">
      <c r="A39" t="s">
        <v>27</v>
      </c>
      <c r="D39" t="s">
        <v>32</v>
      </c>
      <c r="G39" s="4" t="s">
        <v>34</v>
      </c>
      <c r="I39" s="8">
        <f>(B24*B31+B25*B32)/I37</f>
        <v>27.31147359690351</v>
      </c>
      <c r="J39" t="s">
        <v>25</v>
      </c>
      <c r="K39" s="19">
        <f>I39</f>
        <v>27.31147359690351</v>
      </c>
      <c r="L39" t="s">
        <v>25</v>
      </c>
    </row>
    <row r="42" ht="18.75">
      <c r="A42" t="s">
        <v>47</v>
      </c>
    </row>
    <row r="43" spans="1:2" ht="18.75">
      <c r="A43" t="s">
        <v>79</v>
      </c>
      <c r="B43" t="s">
        <v>206</v>
      </c>
    </row>
    <row r="44" spans="1:2" ht="18.75">
      <c r="A44" t="s">
        <v>139</v>
      </c>
      <c r="B44" s="45">
        <v>0.43</v>
      </c>
    </row>
    <row r="45" ht="15.75">
      <c r="B45" s="1"/>
    </row>
    <row r="46" spans="1:3" ht="15.75">
      <c r="A46" t="s">
        <v>207</v>
      </c>
      <c r="B46" s="25" t="s">
        <v>215</v>
      </c>
      <c r="C46" s="23"/>
    </row>
    <row r="48" ht="18.75">
      <c r="A48" t="s">
        <v>219</v>
      </c>
    </row>
    <row r="49" spans="1:3" ht="15.75">
      <c r="A49" t="s">
        <v>216</v>
      </c>
      <c r="B49" s="8"/>
      <c r="C49" t="s">
        <v>217</v>
      </c>
    </row>
    <row r="50" ht="15.75">
      <c r="A50" t="s">
        <v>218</v>
      </c>
    </row>
    <row r="51" spans="1:3" ht="18.75">
      <c r="A51" t="s">
        <v>67</v>
      </c>
      <c r="B51">
        <v>8.7</v>
      </c>
      <c r="C51" t="s">
        <v>24</v>
      </c>
    </row>
    <row r="52" spans="1:2" ht="18.75">
      <c r="A52" t="s">
        <v>61</v>
      </c>
      <c r="B52">
        <v>38</v>
      </c>
    </row>
    <row r="53" ht="15.75">
      <c r="A53" t="s">
        <v>221</v>
      </c>
    </row>
    <row r="55" spans="1:8" ht="18.75">
      <c r="A55" t="s">
        <v>55</v>
      </c>
      <c r="B55" t="s">
        <v>57</v>
      </c>
      <c r="D55" t="s">
        <v>56</v>
      </c>
      <c r="E55" t="s">
        <v>126</v>
      </c>
      <c r="F55" s="3" t="s">
        <v>56</v>
      </c>
      <c r="G55" s="8">
        <f>I37</f>
        <v>2.1919171645597113</v>
      </c>
      <c r="H55" t="s">
        <v>16</v>
      </c>
    </row>
    <row r="57" spans="1:5" ht="30" customHeight="1">
      <c r="A57" t="s">
        <v>120</v>
      </c>
      <c r="B57" s="3" t="s">
        <v>53</v>
      </c>
      <c r="C57" t="s">
        <v>121</v>
      </c>
      <c r="D57" s="7">
        <f>I37*(B51/1000-I38/1000)</f>
        <v>0.009110242828303982</v>
      </c>
      <c r="E57" t="s">
        <v>16</v>
      </c>
    </row>
    <row r="58" ht="18.75">
      <c r="A58" s="4" t="s">
        <v>222</v>
      </c>
    </row>
    <row r="60" spans="1:10" ht="15.75">
      <c r="A60" s="49" t="s">
        <v>136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8.75">
      <c r="A61" s="26"/>
      <c r="B61" s="26"/>
      <c r="C61" s="46" t="s">
        <v>223</v>
      </c>
      <c r="D61" s="26">
        <v>2689.6</v>
      </c>
      <c r="E61" s="26" t="s">
        <v>25</v>
      </c>
      <c r="F61" s="26"/>
      <c r="G61" s="26"/>
      <c r="H61" s="26"/>
      <c r="I61" s="26"/>
      <c r="J61" s="26"/>
    </row>
    <row r="62" spans="1:3" ht="18.75">
      <c r="A62" t="s">
        <v>137</v>
      </c>
      <c r="B62" t="s">
        <v>224</v>
      </c>
      <c r="C62" s="8">
        <f>D57/G55*D61</f>
        <v>11.178756892452306</v>
      </c>
    </row>
    <row r="66" ht="15.75">
      <c r="A66" t="s">
        <v>211</v>
      </c>
    </row>
    <row r="67" ht="15.75">
      <c r="A67" t="s">
        <v>212</v>
      </c>
    </row>
    <row r="69" ht="15.75">
      <c r="A69" t="s">
        <v>263</v>
      </c>
    </row>
    <row r="70" spans="1:4" ht="18.75">
      <c r="A70" s="5" t="s">
        <v>111</v>
      </c>
      <c r="B70" t="s">
        <v>282</v>
      </c>
      <c r="C70" s="8">
        <f>C62</f>
        <v>11.178756892452306</v>
      </c>
      <c r="D70" t="s">
        <v>113</v>
      </c>
    </row>
    <row r="71" spans="1:4" ht="17.25">
      <c r="A71" s="16" t="s">
        <v>110</v>
      </c>
      <c r="B71" t="s">
        <v>283</v>
      </c>
      <c r="C71" s="8">
        <f>B51-I38</f>
        <v>4.15628974288084</v>
      </c>
      <c r="D71" t="s">
        <v>114</v>
      </c>
    </row>
    <row r="72" spans="1:4" ht="18.75">
      <c r="A72" s="5" t="s">
        <v>280</v>
      </c>
      <c r="B72" t="s">
        <v>281</v>
      </c>
      <c r="C72">
        <f>C70/C71</f>
        <v>2.6896</v>
      </c>
      <c r="D72" t="s">
        <v>112</v>
      </c>
    </row>
  </sheetData>
  <sheetProtection/>
  <mergeCells count="1">
    <mergeCell ref="A60:J60"/>
  </mergeCells>
  <printOptions/>
  <pageMargins left="0.75" right="0.75" top="1" bottom="1" header="0.5" footer="0.5"/>
  <pageSetup fitToHeight="0" fitToWidth="1" horizontalDpi="600" verticalDpi="6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110" zoomScaleNormal="110" zoomScalePageLayoutView="0" workbookViewId="0" topLeftCell="A1">
      <selection activeCell="D5" sqref="D5"/>
    </sheetView>
  </sheetViews>
  <sheetFormatPr defaultColWidth="11.00390625" defaultRowHeight="15.75"/>
  <cols>
    <col min="1" max="1" width="17.875" style="0" customWidth="1"/>
    <col min="2" max="2" width="13.375" style="0" customWidth="1"/>
    <col min="3" max="4" width="11.00390625" style="0" customWidth="1"/>
    <col min="5" max="5" width="16.00390625" style="0" customWidth="1"/>
    <col min="6" max="6" width="16.375" style="0" customWidth="1"/>
    <col min="7" max="7" width="11.875" style="0" customWidth="1"/>
    <col min="8" max="8" width="13.875" style="0" customWidth="1"/>
    <col min="9" max="14" width="11.00390625" style="0" customWidth="1"/>
    <col min="15" max="15" width="14.125" style="0" customWidth="1"/>
  </cols>
  <sheetData>
    <row r="1" ht="15.75">
      <c r="A1" s="37" t="s">
        <v>312</v>
      </c>
    </row>
    <row r="2" ht="15.75">
      <c r="A2" s="37" t="s">
        <v>81</v>
      </c>
    </row>
    <row r="3" ht="15.75">
      <c r="A3" t="s">
        <v>88</v>
      </c>
    </row>
    <row r="4" ht="18.75">
      <c r="A4" t="s">
        <v>91</v>
      </c>
    </row>
    <row r="5" ht="18.75">
      <c r="A5" t="s">
        <v>89</v>
      </c>
    </row>
    <row r="6" ht="18.75">
      <c r="A6" t="s">
        <v>90</v>
      </c>
    </row>
    <row r="9" ht="15.75">
      <c r="A9" t="s">
        <v>82</v>
      </c>
    </row>
    <row r="10" spans="1:9" ht="19.5">
      <c r="A10" t="s">
        <v>37</v>
      </c>
      <c r="B10">
        <v>2500</v>
      </c>
      <c r="C10" t="s">
        <v>35</v>
      </c>
      <c r="D10" s="8">
        <f>B10/3600</f>
        <v>0.6944444444444444</v>
      </c>
      <c r="E10" t="s">
        <v>78</v>
      </c>
      <c r="I10" s="8"/>
    </row>
    <row r="11" spans="1:2" ht="18.75">
      <c r="A11" t="s">
        <v>6</v>
      </c>
      <c r="B11" s="1">
        <v>0.4</v>
      </c>
    </row>
    <row r="12" spans="1:2" ht="18.75">
      <c r="A12" t="s">
        <v>7</v>
      </c>
      <c r="B12" s="3" t="s">
        <v>304</v>
      </c>
    </row>
    <row r="13" spans="1:2" ht="18.75">
      <c r="A13" t="s">
        <v>11</v>
      </c>
      <c r="B13" t="s">
        <v>15</v>
      </c>
    </row>
    <row r="14" ht="15.75">
      <c r="A14" t="s">
        <v>92</v>
      </c>
    </row>
    <row r="15" spans="1:3" ht="18.75">
      <c r="A15" t="s">
        <v>79</v>
      </c>
      <c r="B15">
        <v>22</v>
      </c>
      <c r="C15" t="s">
        <v>94</v>
      </c>
    </row>
    <row r="16" ht="15.75">
      <c r="A16" t="s">
        <v>140</v>
      </c>
    </row>
    <row r="17" spans="1:2" ht="18.75">
      <c r="A17" t="s">
        <v>139</v>
      </c>
      <c r="B17" s="1">
        <v>0.5</v>
      </c>
    </row>
    <row r="20" ht="15.75">
      <c r="A20" t="s">
        <v>142</v>
      </c>
    </row>
    <row r="21" spans="1:10" ht="19.5">
      <c r="A21" t="s">
        <v>11</v>
      </c>
      <c r="B21" s="7">
        <v>0.901</v>
      </c>
      <c r="C21" t="s">
        <v>17</v>
      </c>
      <c r="D21" s="5" t="s">
        <v>36</v>
      </c>
      <c r="F21" s="3" t="s">
        <v>39</v>
      </c>
      <c r="G21" t="s">
        <v>40</v>
      </c>
      <c r="H21" s="8">
        <f>B10/3600/B21</f>
        <v>0.7707485509927241</v>
      </c>
      <c r="I21" t="s">
        <v>16</v>
      </c>
      <c r="J21" t="s">
        <v>16</v>
      </c>
    </row>
    <row r="22" ht="15.75">
      <c r="J22" s="5"/>
    </row>
    <row r="24" ht="15.75">
      <c r="A24" t="s">
        <v>83</v>
      </c>
    </row>
    <row r="25" spans="1:3" ht="18.75">
      <c r="A25" t="s">
        <v>19</v>
      </c>
      <c r="B25">
        <v>16</v>
      </c>
      <c r="C25" t="s">
        <v>24</v>
      </c>
    </row>
    <row r="26" spans="1:13" ht="15.75">
      <c r="A26" t="s">
        <v>46</v>
      </c>
      <c r="F26" s="5"/>
      <c r="G26" s="10" t="s">
        <v>246</v>
      </c>
      <c r="H26" s="11"/>
      <c r="I26" s="11"/>
      <c r="J26" s="11"/>
      <c r="K26" s="11"/>
      <c r="L26" s="11"/>
      <c r="M26" s="12"/>
    </row>
    <row r="27" spans="1:13" ht="18.75">
      <c r="A27" t="s">
        <v>22</v>
      </c>
      <c r="B27">
        <v>78</v>
      </c>
      <c r="C27" t="s">
        <v>25</v>
      </c>
      <c r="G27" s="13" t="s">
        <v>63</v>
      </c>
      <c r="H27" s="14"/>
      <c r="I27" s="14">
        <f>1.01*37+B25/1000*(2500+1.805*37)</f>
        <v>78.43856</v>
      </c>
      <c r="J27" s="14" t="s">
        <v>25</v>
      </c>
      <c r="K27" s="14" t="s">
        <v>64</v>
      </c>
      <c r="L27" s="14"/>
      <c r="M27" s="15"/>
    </row>
    <row r="29" ht="15.75">
      <c r="A29" s="20" t="s">
        <v>95</v>
      </c>
    </row>
    <row r="31" ht="15.75">
      <c r="A31" t="s">
        <v>305</v>
      </c>
    </row>
    <row r="32" ht="15.75">
      <c r="A32" t="s">
        <v>144</v>
      </c>
    </row>
    <row r="33" ht="15.75">
      <c r="A33" t="s">
        <v>306</v>
      </c>
    </row>
    <row r="35" ht="15.75">
      <c r="A35" t="s">
        <v>146</v>
      </c>
    </row>
    <row r="37" ht="15.75">
      <c r="A37" t="s">
        <v>147</v>
      </c>
    </row>
    <row r="38" ht="15.75">
      <c r="A38" t="s">
        <v>225</v>
      </c>
    </row>
    <row r="39" spans="1:3" ht="18.75">
      <c r="A39" s="3" t="s">
        <v>148</v>
      </c>
      <c r="B39">
        <v>8.25</v>
      </c>
      <c r="C39" t="s">
        <v>24</v>
      </c>
    </row>
    <row r="41" ht="15.75">
      <c r="A41" t="s">
        <v>149</v>
      </c>
    </row>
    <row r="42" spans="1:3" ht="18.75">
      <c r="A42" t="s">
        <v>104</v>
      </c>
      <c r="B42">
        <f>B39</f>
        <v>8.25</v>
      </c>
      <c r="C42" t="s">
        <v>24</v>
      </c>
    </row>
    <row r="43" ht="15.75">
      <c r="A43" s="5" t="s">
        <v>151</v>
      </c>
    </row>
    <row r="44" ht="18.75">
      <c r="A44" s="5" t="s">
        <v>104</v>
      </c>
    </row>
    <row r="45" ht="15.75">
      <c r="A45" t="s">
        <v>150</v>
      </c>
    </row>
    <row r="46" ht="15.75">
      <c r="A46" t="s">
        <v>152</v>
      </c>
    </row>
    <row r="47" spans="1:16" ht="18.75">
      <c r="A47" s="3" t="s">
        <v>98</v>
      </c>
      <c r="B47">
        <v>32</v>
      </c>
      <c r="C47" t="s">
        <v>25</v>
      </c>
      <c r="I47" t="s">
        <v>99</v>
      </c>
      <c r="J47" s="10" t="s">
        <v>246</v>
      </c>
      <c r="K47" s="11"/>
      <c r="L47" s="11"/>
      <c r="M47" s="11"/>
      <c r="N47" s="11"/>
      <c r="O47" s="11"/>
      <c r="P47" s="12"/>
    </row>
    <row r="48" spans="1:16" ht="18.75">
      <c r="A48" s="3" t="s">
        <v>10</v>
      </c>
      <c r="B48">
        <v>11</v>
      </c>
      <c r="C48" t="s">
        <v>94</v>
      </c>
      <c r="J48" s="13" t="s">
        <v>63</v>
      </c>
      <c r="K48" s="14"/>
      <c r="L48" s="14">
        <f>1.01*11+B42/1000*(2500+1.805*11)</f>
        <v>31.89880375</v>
      </c>
      <c r="M48" s="14" t="s">
        <v>25</v>
      </c>
      <c r="N48" s="14" t="s">
        <v>64</v>
      </c>
      <c r="O48" s="14"/>
      <c r="P48" s="15"/>
    </row>
    <row r="49" spans="1:8" ht="18.75">
      <c r="A49" t="s">
        <v>26</v>
      </c>
      <c r="D49" t="s">
        <v>84</v>
      </c>
      <c r="G49" s="8">
        <f>H21</f>
        <v>0.7707485509927241</v>
      </c>
      <c r="H49" t="s">
        <v>16</v>
      </c>
    </row>
    <row r="50" spans="1:11" ht="18.75">
      <c r="A50" s="4" t="s">
        <v>28</v>
      </c>
      <c r="D50" t="s">
        <v>85</v>
      </c>
      <c r="F50" t="s">
        <v>100</v>
      </c>
      <c r="G50" s="43"/>
      <c r="I50" s="8"/>
      <c r="K50" s="9"/>
    </row>
    <row r="51" spans="1:11" ht="18.75">
      <c r="A51" t="s">
        <v>27</v>
      </c>
      <c r="D51" s="4" t="s">
        <v>86</v>
      </c>
      <c r="F51" s="4" t="s">
        <v>101</v>
      </c>
      <c r="I51" s="8"/>
      <c r="K51" s="9"/>
    </row>
    <row r="53" spans="1:10" ht="18.75">
      <c r="A53" s="30" t="s">
        <v>307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.75">
      <c r="A54" s="29" t="s">
        <v>0</v>
      </c>
      <c r="B54" s="30">
        <v>10</v>
      </c>
      <c r="C54" s="30" t="s">
        <v>21</v>
      </c>
      <c r="D54" s="30">
        <v>42.03</v>
      </c>
      <c r="E54" s="30"/>
      <c r="F54" s="30"/>
      <c r="G54" s="30"/>
      <c r="H54" s="30"/>
      <c r="I54" s="30"/>
      <c r="J54" s="30"/>
    </row>
    <row r="55" spans="1:10" ht="15.75">
      <c r="A55" s="29" t="s">
        <v>1</v>
      </c>
      <c r="B55" s="30">
        <v>15</v>
      </c>
      <c r="C55" s="30" t="s">
        <v>129</v>
      </c>
      <c r="D55" s="30">
        <v>62.96</v>
      </c>
      <c r="E55" s="30"/>
      <c r="F55" s="30"/>
      <c r="G55" s="30"/>
      <c r="H55" s="30"/>
      <c r="I55" s="30"/>
      <c r="J55" s="30"/>
    </row>
    <row r="56" spans="1:4" ht="18.75">
      <c r="A56" s="3" t="s">
        <v>102</v>
      </c>
      <c r="B56" s="21">
        <f>42.03+(11-10)/(15-10)*(62.96-42.03)</f>
        <v>46.216</v>
      </c>
      <c r="C56" t="s">
        <v>25</v>
      </c>
      <c r="D56" t="s">
        <v>154</v>
      </c>
    </row>
    <row r="58" ht="15.75">
      <c r="A58" t="s">
        <v>155</v>
      </c>
    </row>
    <row r="59" spans="1:3" ht="18.75">
      <c r="A59" t="s">
        <v>100</v>
      </c>
      <c r="B59" s="44">
        <f>G49*(B25/1000-B42/1000)</f>
        <v>0.005973301270193612</v>
      </c>
      <c r="C59" t="s">
        <v>16</v>
      </c>
    </row>
    <row r="60" ht="15.75">
      <c r="A60" t="s">
        <v>156</v>
      </c>
    </row>
    <row r="61" spans="1:3" ht="18.75">
      <c r="A61" s="4" t="s">
        <v>101</v>
      </c>
      <c r="B61" s="17">
        <f>G49*(B27-B47)-B59*B56</f>
        <v>35.17837125416204</v>
      </c>
      <c r="C61" t="s">
        <v>68</v>
      </c>
    </row>
    <row r="63" ht="15.75">
      <c r="A63" s="40" t="s">
        <v>103</v>
      </c>
    </row>
    <row r="64" spans="1:15" ht="18.75">
      <c r="A64" t="s">
        <v>90</v>
      </c>
      <c r="E64" t="s">
        <v>107</v>
      </c>
      <c r="I64" s="10" t="s">
        <v>62</v>
      </c>
      <c r="J64" s="11"/>
      <c r="K64" s="11"/>
      <c r="L64" s="11"/>
      <c r="M64" s="11"/>
      <c r="N64" s="11"/>
      <c r="O64" s="12"/>
    </row>
    <row r="65" spans="1:15" ht="18.75">
      <c r="A65" s="5" t="s">
        <v>308</v>
      </c>
      <c r="I65" s="13" t="s">
        <v>63</v>
      </c>
      <c r="J65" s="14"/>
      <c r="K65" s="14">
        <f>1.01*22+B39/1000*(2500+1.805*22)</f>
        <v>43.1726075</v>
      </c>
      <c r="L65" s="14" t="s">
        <v>25</v>
      </c>
      <c r="M65" s="14" t="s">
        <v>64</v>
      </c>
      <c r="N65" s="14"/>
      <c r="O65" s="15"/>
    </row>
    <row r="66" ht="15.75">
      <c r="A66" s="5" t="s">
        <v>295</v>
      </c>
    </row>
    <row r="67" ht="15.75">
      <c r="A67" t="s">
        <v>149</v>
      </c>
    </row>
    <row r="68" ht="18.75">
      <c r="A68" t="s">
        <v>104</v>
      </c>
    </row>
    <row r="69" spans="5:7" ht="18.75">
      <c r="E69" s="3" t="s">
        <v>108</v>
      </c>
      <c r="F69">
        <v>43</v>
      </c>
      <c r="G69" t="s">
        <v>25</v>
      </c>
    </row>
    <row r="70" ht="15.75">
      <c r="A70" t="s">
        <v>265</v>
      </c>
    </row>
    <row r="71" spans="1:7" ht="18.75">
      <c r="A71" s="4" t="s">
        <v>28</v>
      </c>
      <c r="D71" t="s">
        <v>266</v>
      </c>
      <c r="F71" t="s">
        <v>104</v>
      </c>
      <c r="G71">
        <f>B42</f>
        <v>8.25</v>
      </c>
    </row>
    <row r="72" spans="1:8" ht="18.75">
      <c r="A72" t="s">
        <v>27</v>
      </c>
      <c r="D72" s="4" t="s">
        <v>105</v>
      </c>
      <c r="F72" s="4" t="s">
        <v>309</v>
      </c>
      <c r="G72" s="8">
        <f>G49*(F69-B47)</f>
        <v>8.478234060919965</v>
      </c>
      <c r="H72" t="s">
        <v>68</v>
      </c>
    </row>
    <row r="75" ht="15.75">
      <c r="A75" t="s">
        <v>263</v>
      </c>
    </row>
    <row r="76" spans="1:4" ht="18.75">
      <c r="A76" s="5" t="s">
        <v>111</v>
      </c>
      <c r="B76" t="s">
        <v>284</v>
      </c>
      <c r="C76">
        <f>F69-B27</f>
        <v>-35</v>
      </c>
      <c r="D76" t="s">
        <v>113</v>
      </c>
    </row>
    <row r="77" spans="1:4" ht="17.25">
      <c r="A77" s="16" t="s">
        <v>110</v>
      </c>
      <c r="B77" t="s">
        <v>283</v>
      </c>
      <c r="C77">
        <f>G71-B25</f>
        <v>-7.75</v>
      </c>
      <c r="D77" t="s">
        <v>114</v>
      </c>
    </row>
    <row r="78" spans="1:4" ht="18.75">
      <c r="A78" s="5" t="s">
        <v>280</v>
      </c>
      <c r="B78" t="s">
        <v>285</v>
      </c>
      <c r="C78" s="8">
        <f>C76/C77</f>
        <v>4.516129032258065</v>
      </c>
      <c r="D78" t="s">
        <v>112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 1</dc:creator>
  <cp:keywords/>
  <dc:description/>
  <cp:lastModifiedBy>User</cp:lastModifiedBy>
  <cp:lastPrinted>2017-11-27T12:52:32Z</cp:lastPrinted>
  <dcterms:created xsi:type="dcterms:W3CDTF">2017-11-26T01:38:23Z</dcterms:created>
  <dcterms:modified xsi:type="dcterms:W3CDTF">2018-02-11T09:00:59Z</dcterms:modified>
  <cp:category/>
  <cp:version/>
  <cp:contentType/>
  <cp:contentStatus/>
</cp:coreProperties>
</file>