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Esercizio n.3" sheetId="1" r:id="rId1"/>
    <sheet name="Esercizio n.4" sheetId="2" r:id="rId2"/>
    <sheet name="Esercizio n.9" sheetId="3" r:id="rId3"/>
    <sheet name="Esercizio n.10" sheetId="4" r:id="rId4"/>
    <sheet name="Esercizio n.11" sheetId="5" r:id="rId5"/>
    <sheet name="Esercizio n.12" sheetId="6" r:id="rId6"/>
  </sheets>
  <definedNames/>
  <calcPr fullCalcOnLoad="1"/>
</workbook>
</file>

<file path=xl/sharedStrings.xml><?xml version="1.0" encoding="utf-8"?>
<sst xmlns="http://schemas.openxmlformats.org/spreadsheetml/2006/main" count="392" uniqueCount="157">
  <si>
    <t>H</t>
  </si>
  <si>
    <t>L</t>
  </si>
  <si>
    <t>s</t>
  </si>
  <si>
    <t xml:space="preserve">Parete </t>
  </si>
  <si>
    <t>Dimensioni finestra</t>
  </si>
  <si>
    <t>h</t>
  </si>
  <si>
    <t>l</t>
  </si>
  <si>
    <t>s1</t>
  </si>
  <si>
    <t>s3</t>
  </si>
  <si>
    <t>s2</t>
  </si>
  <si>
    <t>s4</t>
  </si>
  <si>
    <t>s5</t>
  </si>
  <si>
    <t>m</t>
  </si>
  <si>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1</t>
    </r>
  </si>
  <si>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2</t>
    </r>
  </si>
  <si>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3</t>
    </r>
  </si>
  <si>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4</t>
    </r>
  </si>
  <si>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5</t>
    </r>
  </si>
  <si>
    <t>W/mK</t>
  </si>
  <si>
    <t>Stratigrafia della parete in muratura</t>
  </si>
  <si>
    <t>Vetro</t>
  </si>
  <si>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v</t>
    </r>
  </si>
  <si>
    <t>Ti</t>
  </si>
  <si>
    <t>Te</t>
  </si>
  <si>
    <t>°C</t>
  </si>
  <si>
    <t xml:space="preserve">Calcolare </t>
  </si>
  <si>
    <t>Soluzione</t>
  </si>
  <si>
    <t>Q = Qp+Qv</t>
  </si>
  <si>
    <r>
      <t>Qp = A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(Ti-Te)/R</t>
    </r>
    <r>
      <rPr>
        <vertAlign val="subscript"/>
        <sz val="11"/>
        <color indexed="8"/>
        <rFont val="Calibri"/>
        <family val="2"/>
      </rPr>
      <t>p</t>
    </r>
  </si>
  <si>
    <t>Rp</t>
  </si>
  <si>
    <t>hi</t>
  </si>
  <si>
    <t>he</t>
  </si>
  <si>
    <r>
      <t>W/m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K</t>
    </r>
  </si>
  <si>
    <r>
      <t>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K/W</t>
    </r>
  </si>
  <si>
    <t>Allora</t>
  </si>
  <si>
    <t>W</t>
  </si>
  <si>
    <t>dove Ap</t>
  </si>
  <si>
    <t>Ap</t>
  </si>
  <si>
    <t>Av</t>
  </si>
  <si>
    <r>
      <t>m</t>
    </r>
    <r>
      <rPr>
        <vertAlign val="superscript"/>
        <sz val="11"/>
        <color indexed="8"/>
        <rFont val="Calibri"/>
        <family val="2"/>
      </rPr>
      <t>2</t>
    </r>
  </si>
  <si>
    <t>Ap=</t>
  </si>
  <si>
    <t>Qv = Av(Ti-Te)/Rv</t>
  </si>
  <si>
    <t>Calcolo Qp</t>
  </si>
  <si>
    <t>Calcolo Qv</t>
  </si>
  <si>
    <t>Rv=</t>
  </si>
  <si>
    <t>La potenza complessiva è:</t>
  </si>
  <si>
    <t>Q = Qp+Qv =</t>
  </si>
  <si>
    <t>b) La percentuale di Q trasmessa attraverso il vetro</t>
  </si>
  <si>
    <t>b) La percentuale di Q trasmessa attraverso il vetro è</t>
  </si>
  <si>
    <t>Qv/Q =(Q-Qp)/Q</t>
  </si>
  <si>
    <t>Stratigrafia della parete</t>
  </si>
  <si>
    <t>Tpi</t>
  </si>
  <si>
    <t>b)  la temperatura dell'ambiente esterno Te</t>
  </si>
  <si>
    <t>a) Il flusso termico trasmesso attraverso la parete q</t>
  </si>
  <si>
    <t>a) Calcolo il flusso termico trasmesso attraverso la parete q, considerando lo scambio termico</t>
  </si>
  <si>
    <t>per adduzione tra l'ambiente interno a temperatura Ti e la superficie interna della parete a temperatura Tp,i</t>
  </si>
  <si>
    <t>q = hi(Ti-Tp,i) =</t>
  </si>
  <si>
    <t>Per l'ipotesi di regime stazionario il flusso q calcolato è quello che si propaga attraverso la parete</t>
  </si>
  <si>
    <t xml:space="preserve">per conduzione e dalla parete verso l'ambiente esterno per adduzione  </t>
  </si>
  <si>
    <r>
      <t>W/m</t>
    </r>
    <r>
      <rPr>
        <vertAlign val="superscript"/>
        <sz val="11"/>
        <color indexed="8"/>
        <rFont val="Calibri"/>
        <family val="2"/>
      </rPr>
      <t>2</t>
    </r>
  </si>
  <si>
    <t>sup 1-2</t>
  </si>
  <si>
    <t>sup 2-3</t>
  </si>
  <si>
    <r>
      <t>T</t>
    </r>
    <r>
      <rPr>
        <vertAlign val="sub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>=Ti-q(1/hi+s1/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1)</t>
    </r>
  </si>
  <si>
    <t>sup. est.</t>
  </si>
  <si>
    <r>
      <t>T</t>
    </r>
    <r>
      <rPr>
        <vertAlign val="subscript"/>
        <sz val="11"/>
        <color indexed="8"/>
        <rFont val="Calibri"/>
        <family val="2"/>
      </rPr>
      <t xml:space="preserve">p,e </t>
    </r>
    <r>
      <rPr>
        <sz val="11"/>
        <color theme="1"/>
        <rFont val="Calibri"/>
        <family val="2"/>
      </rPr>
      <t>=Ti-q(1/hi+s1/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1+s2/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2+s3/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3)</t>
    </r>
  </si>
  <si>
    <r>
      <t>T</t>
    </r>
    <r>
      <rPr>
        <vertAlign val="sub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=Ti-q(1/hi+s1/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1+s2/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2)</t>
    </r>
  </si>
  <si>
    <t>b) Calcolo la temperatura dell'ambiente esterno Te</t>
  </si>
  <si>
    <t xml:space="preserve">essendo </t>
  </si>
  <si>
    <r>
      <t xml:space="preserve">q = </t>
    </r>
    <r>
      <rPr>
        <sz val="11"/>
        <color theme="1"/>
        <rFont val="Calibri"/>
        <family val="2"/>
      </rPr>
      <t>(Ti-Te)/R</t>
    </r>
  </si>
  <si>
    <t>Te =Ti-q*R</t>
  </si>
  <si>
    <r>
      <t>dove R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=1/hi+s1/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1+s2/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2+s3/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3+1/he</t>
    </r>
  </si>
  <si>
    <t>Per completezza e poter diagrammare le temperature nel piano T-x</t>
  </si>
  <si>
    <t>calcolo le temperature per ogni superficie di separazione tra uno strato e l'altro</t>
  </si>
  <si>
    <t>Tpe</t>
  </si>
  <si>
    <t xml:space="preserve">a) Calcolo il flusso termico trasmesso attraverso la parete q, considerando lo scambio termico combinato tra </t>
  </si>
  <si>
    <t xml:space="preserve">tra l'ambiente interno a temperatura Ti e la superficie esterna della parete a temperatura Tp,e (adduzione + conduzione) </t>
  </si>
  <si>
    <r>
      <t>q = (Ti-Tp,e)/(1/hi+s1/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1+s2/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2+s3/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3+s4+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4)</t>
    </r>
  </si>
  <si>
    <t xml:space="preserve">q = (Ti-Tp,e)/ R </t>
  </si>
  <si>
    <t>dove R è</t>
  </si>
  <si>
    <t xml:space="preserve">Per l'ipotesi di regime stazionario il flusso q calcolato uguale a quello che si disperde verso l'ambiente esterno per adduzione dalla superficie esterna </t>
  </si>
  <si>
    <t>Te = Tp,e-q*1/he</t>
  </si>
  <si>
    <t>c) calcolo le temperature per ogni superficie di separazione tra uno strato e l'altro</t>
  </si>
  <si>
    <t>sup. 3-4</t>
  </si>
  <si>
    <r>
      <t>T</t>
    </r>
    <r>
      <rPr>
        <vertAlign val="sub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=Ti-q(1/hi+s1/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1+s2/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2+s3/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3)</t>
    </r>
  </si>
  <si>
    <t>Tp,e</t>
  </si>
  <si>
    <t>dai dati</t>
  </si>
  <si>
    <t>c) Le temperature in corrispondenza delle interfacce tra i vari strati</t>
  </si>
  <si>
    <t>b)  la temperatura della superficie interna Tp,i</t>
  </si>
  <si>
    <t>tra l'ambiente interno a temperatura Ti e l'ambiente esterno a temperatura Te</t>
  </si>
  <si>
    <t>a) Calcolo il flusso termico trasmesso attraverso la parete q, considerando lo scambio termico in modalità combinata</t>
  </si>
  <si>
    <t>q = (Ti-Te)/R =</t>
  </si>
  <si>
    <t>dove R è la resistenza termica globale della parete</t>
  </si>
  <si>
    <r>
      <t>R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=1/hi+s1/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1+s2/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2+s3/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3+1/he =</t>
    </r>
  </si>
  <si>
    <t>b) Calcolo la temperatura della superficie interna Tp,i</t>
  </si>
  <si>
    <t>per adduzione dall'ambiente internoa temperatura Ti verso la superficie interna della parete a temperatura Tp,i</t>
  </si>
  <si>
    <t>q =hi* (Ti-Tp,i)</t>
  </si>
  <si>
    <t>ricavo</t>
  </si>
  <si>
    <t>Tp,i</t>
  </si>
  <si>
    <t>Tp,i=Ti-q*1/hi</t>
  </si>
  <si>
    <r>
      <t>c) Calcolo lo spessore dello strato di isolante (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 xml:space="preserve">i) affinchè il flusso termico si riduca del 30% </t>
    </r>
  </si>
  <si>
    <t>La condizione da imporre deve essere</t>
  </si>
  <si>
    <t>Ciò significa che il flusso termico deve diventare il 70% di quello iniziale.</t>
  </si>
  <si>
    <t>q'=(1-0,3)q = 0,7q</t>
  </si>
  <si>
    <t>q' = (Ti-Te)/R'</t>
  </si>
  <si>
    <t>ma se il flusso si riduce la resistenza deve aumentare dal valore R al valore R'</t>
  </si>
  <si>
    <t>Quindi</t>
  </si>
  <si>
    <t>0,7q = (Ti-Te)/R'</t>
  </si>
  <si>
    <t>so che q' = 0,7q e allora scrivo che:</t>
  </si>
  <si>
    <t>ricavo R'</t>
  </si>
  <si>
    <t xml:space="preserve"> R'= (Ti-Te)/0,7q</t>
  </si>
  <si>
    <t>La resistenza è infatti aumentata del 30%, essendo inversamente proporzionale al flusso termico</t>
  </si>
  <si>
    <t>Ma R' è la resistenza iniziale R incrementata della resistenza dell'isolante. Allora scrivo:</t>
  </si>
  <si>
    <r>
      <t>R' = R+Ri = R+si/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 xml:space="preserve">i </t>
    </r>
  </si>
  <si>
    <t>cioè</t>
  </si>
  <si>
    <r>
      <t>R' = R+si/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 xml:space="preserve">i </t>
    </r>
  </si>
  <si>
    <r>
      <t>da cui ricavo l'incognita s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:</t>
    </r>
  </si>
  <si>
    <r>
      <t xml:space="preserve">si= 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i (R'-R)</t>
    </r>
  </si>
  <si>
    <r>
      <t>c) calcolare lo spessore dello strato di isolante (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 xml:space="preserve">i= 0,042 W/mK)) affinchè il flusso termico si riduca del 30% </t>
    </r>
  </si>
  <si>
    <t>Conducibilità dell'isolante</t>
  </si>
  <si>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i</t>
    </r>
  </si>
  <si>
    <t>mm</t>
  </si>
  <si>
    <t>c)  la temperatura dell'ambiente esterno Te</t>
  </si>
  <si>
    <t>b) la trasmittanza termica della parete K</t>
  </si>
  <si>
    <r>
      <t xml:space="preserve">b) Calcolo la trasmittanza termica della parete </t>
    </r>
    <r>
      <rPr>
        <b/>
        <sz val="11"/>
        <color indexed="8"/>
        <rFont val="Calibri"/>
        <family val="2"/>
      </rPr>
      <t>K</t>
    </r>
  </si>
  <si>
    <r>
      <t>K= 1/R= 1/(1/hi+s1/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1+s2/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2+s3/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3+1/he)</t>
    </r>
  </si>
  <si>
    <r>
      <t>dove R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=1/K</t>
    </r>
  </si>
  <si>
    <t>c) Calcolo la temperatura dell'ambiente esterno Te</t>
  </si>
  <si>
    <t>a) La potenza termica Q trasmessa attraverso tutta la parete (finestra più muratura)</t>
  </si>
  <si>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5</t>
    </r>
  </si>
  <si>
    <t>a) La conduttanza globale della parete</t>
  </si>
  <si>
    <t>b)  il flusso termico trasmesso attraverso la parete dall'ambiente interno all'ambiente esterno</t>
  </si>
  <si>
    <t>c) La conduttanza C' in seguito all'inserimento di uno strato di perlite nell'intercapedine d'aria</t>
  </si>
  <si>
    <t>a) Calcolo la conduttanza globale della parete</t>
  </si>
  <si>
    <r>
      <t>1/hi+s1/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1+s2/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2+s3/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3+s4/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4</t>
    </r>
  </si>
  <si>
    <t>b) Calcolo il flusso termico trasmesso attraverso la parete dall'ambiente interno all'ambiente esterno</t>
  </si>
  <si>
    <r>
      <t>q = (Ti-Te)/(1/hi+s1/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1+s2/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2+s3/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3+s4/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4+s5/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5+1/he)</t>
    </r>
  </si>
  <si>
    <t xml:space="preserve">La perlite espansa in granuli ha densità pari a 100 kg/m3. Dalle tabelle contenute nel file "Proprietà termofisiche dei materiali" </t>
  </si>
  <si>
    <t>pagina B-6 trovo che la conducibilità termica è</t>
  </si>
  <si>
    <t>Lo spessore è sempre 0,05 m (quello dell'intercapedine d'aria)</t>
  </si>
  <si>
    <r>
      <t>s3/</t>
    </r>
    <r>
      <rPr>
        <sz val="11"/>
        <color indexed="8"/>
        <rFont val="Symbol"/>
        <family val="1"/>
      </rPr>
      <t>l</t>
    </r>
    <r>
      <rPr>
        <vertAlign val="subscript"/>
        <sz val="11"/>
        <color indexed="8"/>
        <rFont val="Calibri"/>
        <family val="2"/>
      </rPr>
      <t>perlite</t>
    </r>
  </si>
  <si>
    <t>La conduttanza C' in seguito all'inserimento di uno strato di perlite nell'intercapedine d'aria è:</t>
  </si>
  <si>
    <t>c) Calcolo la conduttanza C' in seguito all'inserimento di uno strato di perlite nell'intercapedine d'aria</t>
  </si>
  <si>
    <t>I valori di conducibilità termica sono stati ricavati, in funzione della</t>
  </si>
  <si>
    <t>densità o massa volumica dei materiali, dalla tabella contenuta nel file</t>
  </si>
  <si>
    <t>"Proprietà termofisiche dei materiali"</t>
  </si>
  <si>
    <t>a) La potenza trasmessa complessivamente Q è data dalla somma delle potenze termiche trasmesse attraverso la finestra (Qv) e la parete opaca (Qp)</t>
  </si>
  <si>
    <r>
      <t>è l'area totale A</t>
    </r>
    <r>
      <rPr>
        <sz val="11"/>
        <color theme="1"/>
        <rFont val="Calibri"/>
        <family val="2"/>
      </rPr>
      <t xml:space="preserve"> meno quella della finestra</t>
    </r>
  </si>
  <si>
    <r>
      <t>A</t>
    </r>
    <r>
      <rPr>
        <sz val="11"/>
        <color theme="1"/>
        <rFont val="Calibri"/>
        <family val="2"/>
      </rPr>
      <t>-A</t>
    </r>
    <r>
      <rPr>
        <vertAlign val="subscript"/>
        <sz val="11"/>
        <color indexed="8"/>
        <rFont val="Calibri"/>
        <family val="2"/>
      </rPr>
      <t>v</t>
    </r>
  </si>
  <si>
    <t xml:space="preserve">"Resistenza e conduttanza intercapedini ventilate" </t>
  </si>
  <si>
    <r>
      <t>R</t>
    </r>
    <r>
      <rPr>
        <vertAlign val="subscript"/>
        <sz val="11"/>
        <color indexed="8"/>
        <rFont val="Calibri"/>
        <family val="2"/>
      </rPr>
      <t>aria</t>
    </r>
  </si>
  <si>
    <t>Il valore della resistenza dell'aria si è scelto sulla base del paragrafo 3 pag.3 del file</t>
  </si>
  <si>
    <r>
      <t>1/R</t>
    </r>
    <r>
      <rPr>
        <vertAlign val="subscript"/>
        <sz val="11"/>
        <color indexed="8"/>
        <rFont val="Calibri"/>
        <family val="2"/>
      </rPr>
      <t>aria</t>
    </r>
  </si>
  <si>
    <r>
      <t>C</t>
    </r>
    <r>
      <rPr>
        <vertAlign val="subscript"/>
        <sz val="11"/>
        <color indexed="8"/>
        <rFont val="Calibri"/>
        <family val="2"/>
      </rPr>
      <t xml:space="preserve">aria </t>
    </r>
    <r>
      <rPr>
        <sz val="11"/>
        <color theme="1"/>
        <rFont val="Calibri"/>
        <family val="2"/>
      </rPr>
      <t>=</t>
    </r>
  </si>
  <si>
    <r>
      <t>R</t>
    </r>
    <r>
      <rPr>
        <vertAlign val="subscript"/>
        <sz val="11"/>
        <color indexed="8"/>
        <rFont val="Calibri"/>
        <family val="2"/>
      </rPr>
      <t>perlite</t>
    </r>
    <r>
      <rPr>
        <sz val="11"/>
        <color theme="1"/>
        <rFont val="Calibri"/>
        <family val="2"/>
      </rPr>
      <t xml:space="preserve"> </t>
    </r>
  </si>
  <si>
    <r>
      <t>Quindi la resistenza dello strato passa da R</t>
    </r>
    <r>
      <rPr>
        <vertAlign val="subscript"/>
        <sz val="11"/>
        <color indexed="8"/>
        <rFont val="Calibri"/>
        <family val="2"/>
      </rPr>
      <t>aria</t>
    </r>
    <r>
      <rPr>
        <sz val="11"/>
        <color theme="1"/>
        <rFont val="Calibri"/>
        <family val="2"/>
      </rPr>
      <t xml:space="preserve"> a R</t>
    </r>
    <r>
      <rPr>
        <vertAlign val="subscript"/>
        <sz val="11"/>
        <color indexed="8"/>
        <rFont val="Calibri"/>
        <family val="2"/>
      </rPr>
      <t>perlite</t>
    </r>
    <r>
      <rPr>
        <sz val="11"/>
        <color theme="1"/>
        <rFont val="Calibri"/>
        <family val="2"/>
      </rPr>
      <t xml:space="preserve"> </t>
    </r>
  </si>
  <si>
    <r>
      <t>C'= C-1/R</t>
    </r>
    <r>
      <rPr>
        <vertAlign val="subscript"/>
        <sz val="11"/>
        <color indexed="8"/>
        <rFont val="Calibri"/>
        <family val="2"/>
      </rPr>
      <t>aria</t>
    </r>
    <r>
      <rPr>
        <sz val="11"/>
        <color theme="1"/>
        <rFont val="Calibri"/>
        <family val="2"/>
      </rPr>
      <t>+1/R</t>
    </r>
    <r>
      <rPr>
        <vertAlign val="subscript"/>
        <sz val="11"/>
        <color indexed="8"/>
        <rFont val="Calibri"/>
        <family val="2"/>
      </rPr>
      <t>perlite</t>
    </r>
    <r>
      <rPr>
        <sz val="11"/>
        <color theme="1"/>
        <rFont val="Calibri"/>
        <family val="2"/>
      </rPr>
      <t>=</t>
    </r>
  </si>
  <si>
    <r>
      <t>C=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1/s1+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2/s2+</t>
    </r>
    <r>
      <rPr>
        <sz val="11"/>
        <color indexed="8"/>
        <rFont val="Symbol"/>
        <family val="1"/>
      </rPr>
      <t>1/</t>
    </r>
    <r>
      <rPr>
        <sz val="11"/>
        <color theme="1"/>
        <rFont val="Calibri"/>
        <family val="2"/>
      </rPr>
      <t>R</t>
    </r>
    <r>
      <rPr>
        <vertAlign val="subscript"/>
        <sz val="11"/>
        <color indexed="8"/>
        <rFont val="Calibri"/>
        <family val="2"/>
      </rPr>
      <t>aria</t>
    </r>
    <r>
      <rPr>
        <sz val="11"/>
        <color theme="1"/>
        <rFont val="Calibri"/>
        <family val="2"/>
      </rPr>
      <t>+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4/s4+</t>
    </r>
    <r>
      <rPr>
        <sz val="11"/>
        <color indexed="8"/>
        <rFont val="Symbol"/>
        <family val="1"/>
      </rPr>
      <t>l</t>
    </r>
    <r>
      <rPr>
        <sz val="11"/>
        <color theme="1"/>
        <rFont val="Calibri"/>
        <family val="2"/>
      </rPr>
      <t>5/s5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</si>
</sst>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Symbol"/>
      <family val="1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4" fillId="0" borderId="0" xfId="0" applyFont="1" applyAlignment="1">
      <alignment/>
    </xf>
    <xf numFmtId="9" fontId="0" fillId="0" borderId="0" xfId="48" applyFont="1" applyAlignment="1">
      <alignment/>
    </xf>
    <xf numFmtId="165" fontId="0" fillId="0" borderId="0" xfId="0" applyNumberFormat="1" applyAlignment="1">
      <alignment/>
    </xf>
    <xf numFmtId="0" fontId="3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23">
      <selection activeCell="K14" sqref="K14"/>
    </sheetView>
  </sheetViews>
  <sheetFormatPr defaultColWidth="9.140625" defaultRowHeight="15"/>
  <cols>
    <col min="9" max="9" width="11.7109375" style="0" customWidth="1"/>
    <col min="10" max="10" width="9.7109375" style="0" bestFit="1" customWidth="1"/>
    <col min="12" max="12" width="40.28125" style="0" bestFit="1" customWidth="1"/>
  </cols>
  <sheetData>
    <row r="1" spans="1:9" ht="15">
      <c r="A1" t="s">
        <v>3</v>
      </c>
      <c r="I1" s="6" t="s">
        <v>25</v>
      </c>
    </row>
    <row r="2" spans="1:9" ht="15">
      <c r="A2" t="s">
        <v>0</v>
      </c>
      <c r="B2">
        <v>3</v>
      </c>
      <c r="C2" t="s">
        <v>12</v>
      </c>
      <c r="I2" t="s">
        <v>127</v>
      </c>
    </row>
    <row r="3" spans="1:9" ht="15">
      <c r="A3" t="s">
        <v>1</v>
      </c>
      <c r="B3">
        <v>5</v>
      </c>
      <c r="C3" t="s">
        <v>12</v>
      </c>
      <c r="I3" t="s">
        <v>47</v>
      </c>
    </row>
    <row r="4" spans="1:3" ht="17.25">
      <c r="A4" t="s">
        <v>37</v>
      </c>
      <c r="B4">
        <f>B3*B2</f>
        <v>15</v>
      </c>
      <c r="C4" t="s">
        <v>39</v>
      </c>
    </row>
    <row r="5" ht="15">
      <c r="A5" t="s">
        <v>4</v>
      </c>
    </row>
    <row r="6" spans="1:9" ht="15">
      <c r="A6" t="s">
        <v>5</v>
      </c>
      <c r="B6">
        <v>2.5</v>
      </c>
      <c r="C6" t="s">
        <v>12</v>
      </c>
      <c r="I6" s="6" t="s">
        <v>26</v>
      </c>
    </row>
    <row r="7" spans="1:9" ht="15">
      <c r="A7" t="s">
        <v>6</v>
      </c>
      <c r="B7">
        <v>1.5</v>
      </c>
      <c r="C7" t="s">
        <v>12</v>
      </c>
      <c r="I7" t="s">
        <v>145</v>
      </c>
    </row>
    <row r="8" spans="1:3" ht="17.25">
      <c r="A8" t="s">
        <v>38</v>
      </c>
      <c r="B8">
        <f>B7*B6</f>
        <v>3.75</v>
      </c>
      <c r="C8" t="s">
        <v>39</v>
      </c>
    </row>
    <row r="10" spans="1:9" ht="15">
      <c r="A10" t="s">
        <v>19</v>
      </c>
      <c r="I10" t="s">
        <v>27</v>
      </c>
    </row>
    <row r="11" spans="1:6" ht="15">
      <c r="A11" t="s">
        <v>7</v>
      </c>
      <c r="B11">
        <v>0.02</v>
      </c>
      <c r="C11" t="s">
        <v>12</v>
      </c>
      <c r="D11" t="s">
        <v>13</v>
      </c>
      <c r="E11">
        <v>1.4</v>
      </c>
      <c r="F11" t="s">
        <v>18</v>
      </c>
    </row>
    <row r="12" spans="1:9" ht="15">
      <c r="A12" t="s">
        <v>9</v>
      </c>
      <c r="B12">
        <v>0.12</v>
      </c>
      <c r="C12" t="s">
        <v>12</v>
      </c>
      <c r="D12" t="s">
        <v>14</v>
      </c>
      <c r="E12">
        <v>0.36</v>
      </c>
      <c r="F12" t="s">
        <v>18</v>
      </c>
      <c r="I12" t="s">
        <v>42</v>
      </c>
    </row>
    <row r="13" spans="1:12" ht="18">
      <c r="A13" t="s">
        <v>8</v>
      </c>
      <c r="B13">
        <v>0.015</v>
      </c>
      <c r="C13" t="s">
        <v>12</v>
      </c>
      <c r="D13" t="s">
        <v>15</v>
      </c>
      <c r="E13">
        <v>0.026</v>
      </c>
      <c r="F13" t="s">
        <v>18</v>
      </c>
      <c r="I13" t="s">
        <v>28</v>
      </c>
      <c r="K13" t="s">
        <v>36</v>
      </c>
      <c r="L13" t="s">
        <v>146</v>
      </c>
    </row>
    <row r="14" spans="1:13" ht="18.75">
      <c r="A14" t="s">
        <v>10</v>
      </c>
      <c r="B14">
        <v>0.08</v>
      </c>
      <c r="C14" t="s">
        <v>12</v>
      </c>
      <c r="D14" t="s">
        <v>16</v>
      </c>
      <c r="E14">
        <v>0.3</v>
      </c>
      <c r="F14" t="s">
        <v>18</v>
      </c>
      <c r="J14" s="1" t="s">
        <v>40</v>
      </c>
      <c r="K14" t="s">
        <v>147</v>
      </c>
      <c r="L14" s="2">
        <f>B4-B8</f>
        <v>11.25</v>
      </c>
      <c r="M14" t="s">
        <v>39</v>
      </c>
    </row>
    <row r="15" spans="1:6" ht="15">
      <c r="A15" t="s">
        <v>11</v>
      </c>
      <c r="B15">
        <v>0.02</v>
      </c>
      <c r="C15" t="s">
        <v>12</v>
      </c>
      <c r="D15" t="s">
        <v>17</v>
      </c>
      <c r="E15">
        <v>0.7</v>
      </c>
      <c r="F15" t="s">
        <v>18</v>
      </c>
    </row>
    <row r="16" spans="1:11" ht="17.25">
      <c r="A16" t="s">
        <v>142</v>
      </c>
      <c r="I16" t="s">
        <v>29</v>
      </c>
      <c r="J16">
        <f>1/F26+B11/E11+B12/E12+B13/E13+B14/E14+B15/E15+1/F27</f>
        <v>1.3864468864468864</v>
      </c>
      <c r="K16" t="s">
        <v>33</v>
      </c>
    </row>
    <row r="17" ht="15">
      <c r="A17" t="s">
        <v>143</v>
      </c>
    </row>
    <row r="18" ht="15">
      <c r="A18" t="s">
        <v>144</v>
      </c>
    </row>
    <row r="21" spans="1:9" ht="15">
      <c r="A21" t="s">
        <v>20</v>
      </c>
      <c r="I21" t="s">
        <v>34</v>
      </c>
    </row>
    <row r="22" spans="1:12" ht="18">
      <c r="A22" t="s">
        <v>2</v>
      </c>
      <c r="B22">
        <v>0.004</v>
      </c>
      <c r="C22" t="s">
        <v>12</v>
      </c>
      <c r="I22" t="s">
        <v>28</v>
      </c>
      <c r="K22">
        <f>(L14)*(B26-B27)/J16</f>
        <v>162.28533685601056</v>
      </c>
      <c r="L22" t="s">
        <v>35</v>
      </c>
    </row>
    <row r="23" spans="1:3" ht="15">
      <c r="A23" t="s">
        <v>21</v>
      </c>
      <c r="B23">
        <v>1</v>
      </c>
      <c r="C23" t="s">
        <v>18</v>
      </c>
    </row>
    <row r="24" ht="15">
      <c r="I24" t="s">
        <v>43</v>
      </c>
    </row>
    <row r="25" ht="15">
      <c r="I25" t="s">
        <v>41</v>
      </c>
    </row>
    <row r="26" spans="1:7" ht="17.25">
      <c r="A26" t="s">
        <v>22</v>
      </c>
      <c r="B26">
        <v>20</v>
      </c>
      <c r="C26" t="s">
        <v>24</v>
      </c>
      <c r="E26" t="s">
        <v>30</v>
      </c>
      <c r="F26">
        <v>8</v>
      </c>
      <c r="G26" t="s">
        <v>32</v>
      </c>
    </row>
    <row r="27" spans="1:11" ht="17.25">
      <c r="A27" t="s">
        <v>23</v>
      </c>
      <c r="B27">
        <v>0</v>
      </c>
      <c r="C27" t="s">
        <v>24</v>
      </c>
      <c r="E27" t="s">
        <v>31</v>
      </c>
      <c r="F27">
        <v>24</v>
      </c>
      <c r="G27" t="s">
        <v>32</v>
      </c>
      <c r="I27" t="s">
        <v>44</v>
      </c>
      <c r="J27">
        <f>1/F26+B22/B23+1/F27</f>
        <v>0.17066666666666666</v>
      </c>
      <c r="K27" t="s">
        <v>33</v>
      </c>
    </row>
    <row r="29" ht="15">
      <c r="I29" t="s">
        <v>34</v>
      </c>
    </row>
    <row r="30" spans="9:12" ht="15">
      <c r="I30" t="s">
        <v>41</v>
      </c>
      <c r="K30">
        <f>B8*(B26-B27)/J27</f>
        <v>439.453125</v>
      </c>
      <c r="L30" t="s">
        <v>35</v>
      </c>
    </row>
    <row r="33" ht="15">
      <c r="I33" t="s">
        <v>45</v>
      </c>
    </row>
    <row r="35" spans="9:11" ht="15">
      <c r="I35" t="s">
        <v>46</v>
      </c>
      <c r="J35">
        <f>K22+K30</f>
        <v>601.7384618560105</v>
      </c>
      <c r="K35" t="s">
        <v>35</v>
      </c>
    </row>
    <row r="37" ht="15">
      <c r="I37" t="s">
        <v>48</v>
      </c>
    </row>
    <row r="39" spans="9:11" ht="15">
      <c r="I39" t="s">
        <v>49</v>
      </c>
      <c r="K39" s="4">
        <f>K30/J35</f>
        <v>0.7303058601980412</v>
      </c>
    </row>
    <row r="40" ht="15">
      <c r="K40" s="7">
        <v>0.7303058601980412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9">
      <selection activeCell="K10" sqref="K10"/>
    </sheetView>
  </sheetViews>
  <sheetFormatPr defaultColWidth="9.140625" defaultRowHeight="15"/>
  <cols>
    <col min="9" max="9" width="19.57421875" style="0" customWidth="1"/>
    <col min="10" max="10" width="25.00390625" style="0" customWidth="1"/>
    <col min="11" max="11" width="24.00390625" style="0" customWidth="1"/>
    <col min="12" max="12" width="25.28125" style="0" customWidth="1"/>
    <col min="14" max="14" width="9.7109375" style="0" bestFit="1" customWidth="1"/>
  </cols>
  <sheetData>
    <row r="1" spans="1:9" ht="15">
      <c r="A1" t="s">
        <v>3</v>
      </c>
      <c r="I1" s="6" t="s">
        <v>25</v>
      </c>
    </row>
    <row r="2" spans="1:9" ht="15">
      <c r="A2" t="s">
        <v>50</v>
      </c>
      <c r="I2" t="s">
        <v>129</v>
      </c>
    </row>
    <row r="3" spans="1:9" ht="15">
      <c r="A3" t="s">
        <v>7</v>
      </c>
      <c r="B3">
        <v>0.03</v>
      </c>
      <c r="C3" t="s">
        <v>12</v>
      </c>
      <c r="D3" t="s">
        <v>13</v>
      </c>
      <c r="E3">
        <v>0.7</v>
      </c>
      <c r="F3" t="s">
        <v>18</v>
      </c>
      <c r="I3" t="s">
        <v>130</v>
      </c>
    </row>
    <row r="4" spans="1:9" ht="15">
      <c r="A4" t="s">
        <v>9</v>
      </c>
      <c r="B4">
        <v>0.06</v>
      </c>
      <c r="C4" t="s">
        <v>12</v>
      </c>
      <c r="D4" t="s">
        <v>14</v>
      </c>
      <c r="E4">
        <v>0.3</v>
      </c>
      <c r="F4" t="s">
        <v>18</v>
      </c>
      <c r="I4" t="s">
        <v>131</v>
      </c>
    </row>
    <row r="5" spans="1:6" ht="18.75">
      <c r="A5" t="s">
        <v>8</v>
      </c>
      <c r="B5">
        <v>0.05</v>
      </c>
      <c r="C5" t="s">
        <v>12</v>
      </c>
      <c r="D5" t="s">
        <v>149</v>
      </c>
      <c r="E5">
        <v>0.15</v>
      </c>
      <c r="F5" t="s">
        <v>33</v>
      </c>
    </row>
    <row r="6" spans="1:9" ht="15">
      <c r="A6" t="s">
        <v>10</v>
      </c>
      <c r="B6">
        <v>0.05</v>
      </c>
      <c r="C6" t="s">
        <v>12</v>
      </c>
      <c r="D6" t="s">
        <v>16</v>
      </c>
      <c r="E6">
        <v>0.6</v>
      </c>
      <c r="F6" t="s">
        <v>18</v>
      </c>
      <c r="I6" s="6" t="s">
        <v>26</v>
      </c>
    </row>
    <row r="7" spans="1:9" ht="15">
      <c r="A7" t="s">
        <v>11</v>
      </c>
      <c r="B7">
        <v>0.035</v>
      </c>
      <c r="C7" t="s">
        <v>12</v>
      </c>
      <c r="D7" t="s">
        <v>128</v>
      </c>
      <c r="E7">
        <v>1.4</v>
      </c>
      <c r="F7" t="s">
        <v>18</v>
      </c>
      <c r="I7" t="s">
        <v>132</v>
      </c>
    </row>
    <row r="8" spans="12:15" ht="18.75">
      <c r="L8" s="1" t="s">
        <v>152</v>
      </c>
      <c r="M8" t="s">
        <v>151</v>
      </c>
      <c r="N8" s="5">
        <f>1/E5</f>
        <v>6.666666666666667</v>
      </c>
      <c r="O8" t="s">
        <v>32</v>
      </c>
    </row>
    <row r="9" spans="1:12" ht="18.75">
      <c r="A9" t="s">
        <v>142</v>
      </c>
      <c r="I9" t="s">
        <v>156</v>
      </c>
      <c r="J9" s="1"/>
      <c r="K9" s="5">
        <f>E3/B3+E4/B4+1/E5+E6/B6+E7/B7</f>
        <v>87</v>
      </c>
      <c r="L9" t="s">
        <v>32</v>
      </c>
    </row>
    <row r="10" ht="15">
      <c r="A10" t="s">
        <v>143</v>
      </c>
    </row>
    <row r="11" spans="1:12" ht="15">
      <c r="A11" t="s">
        <v>144</v>
      </c>
      <c r="I11" t="s">
        <v>150</v>
      </c>
      <c r="L11" s="8"/>
    </row>
    <row r="12" ht="15">
      <c r="I12" t="s">
        <v>148</v>
      </c>
    </row>
    <row r="15" ht="15">
      <c r="I15" t="s">
        <v>134</v>
      </c>
    </row>
    <row r="16" spans="1:7" ht="17.25">
      <c r="A16" t="s">
        <v>22</v>
      </c>
      <c r="B16">
        <v>20</v>
      </c>
      <c r="C16" t="s">
        <v>24</v>
      </c>
      <c r="E16" t="s">
        <v>30</v>
      </c>
      <c r="F16">
        <v>8</v>
      </c>
      <c r="G16" t="s">
        <v>32</v>
      </c>
    </row>
    <row r="17" spans="1:13" ht="17.25">
      <c r="A17" t="s">
        <v>23</v>
      </c>
      <c r="B17">
        <v>-8</v>
      </c>
      <c r="C17" t="s">
        <v>24</v>
      </c>
      <c r="E17" t="s">
        <v>31</v>
      </c>
      <c r="F17">
        <v>24</v>
      </c>
      <c r="G17" t="s">
        <v>32</v>
      </c>
      <c r="I17" t="s">
        <v>135</v>
      </c>
      <c r="L17" s="8">
        <f>(B16-B17)/(1/F16+B3/E3+B4/E4+1/E5+B6/E6+B7/E7+1/F17)</f>
        <v>3.897265948632974</v>
      </c>
      <c r="M17" t="s">
        <v>59</v>
      </c>
    </row>
    <row r="19" ht="15">
      <c r="I19" t="s">
        <v>141</v>
      </c>
    </row>
    <row r="21" spans="9:10" ht="15">
      <c r="I21" t="s">
        <v>136</v>
      </c>
      <c r="J21" s="8"/>
    </row>
    <row r="22" spans="9:12" ht="15">
      <c r="I22" t="s">
        <v>137</v>
      </c>
      <c r="L22" s="5"/>
    </row>
    <row r="23" spans="9:11" ht="15">
      <c r="I23" s="9" t="s">
        <v>6</v>
      </c>
      <c r="J23">
        <v>0.066</v>
      </c>
      <c r="K23" t="s">
        <v>18</v>
      </c>
    </row>
    <row r="24" ht="15">
      <c r="I24" s="10"/>
    </row>
    <row r="25" spans="5:9" ht="15">
      <c r="E25" s="2"/>
      <c r="I25" s="11" t="s">
        <v>138</v>
      </c>
    </row>
    <row r="26" ht="18">
      <c r="I26" s="11" t="s">
        <v>154</v>
      </c>
    </row>
    <row r="27" spans="9:12" ht="18.75">
      <c r="I27" s="11" t="s">
        <v>153</v>
      </c>
      <c r="J27" t="s">
        <v>139</v>
      </c>
      <c r="K27" s="5">
        <f>B5/J23</f>
        <v>0.7575757575757576</v>
      </c>
      <c r="L27" t="s">
        <v>33</v>
      </c>
    </row>
    <row r="29" ht="15">
      <c r="I29" t="s">
        <v>140</v>
      </c>
    </row>
    <row r="30" spans="9:11" ht="18.75">
      <c r="I30" t="s">
        <v>155</v>
      </c>
      <c r="J30" s="5">
        <f>K9-1/E5+1/K27</f>
        <v>81.65333333333332</v>
      </c>
      <c r="K30" t="s">
        <v>32</v>
      </c>
    </row>
    <row r="31" ht="15">
      <c r="I31" s="11"/>
    </row>
    <row r="32" ht="15">
      <c r="I32" s="11"/>
    </row>
    <row r="35" spans="8:11" ht="15">
      <c r="H35" s="8"/>
      <c r="K35" s="8"/>
    </row>
    <row r="36" spans="8:11" ht="15">
      <c r="H36" s="8"/>
      <c r="K36" s="8"/>
    </row>
    <row r="37" spans="8:11" ht="15">
      <c r="H37" s="5"/>
      <c r="K37" s="8"/>
    </row>
    <row r="38" ht="15">
      <c r="H38" s="5"/>
    </row>
    <row r="58" ht="15">
      <c r="K58" s="5"/>
    </row>
    <row r="59" ht="15">
      <c r="K5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M19" sqref="M19"/>
    </sheetView>
  </sheetViews>
  <sheetFormatPr defaultColWidth="9.140625" defaultRowHeight="15"/>
  <cols>
    <col min="9" max="9" width="13.8515625" style="0" customWidth="1"/>
    <col min="10" max="10" width="17.7109375" style="0" customWidth="1"/>
    <col min="11" max="11" width="24.00390625" style="0" customWidth="1"/>
    <col min="12" max="12" width="25.28125" style="0" customWidth="1"/>
  </cols>
  <sheetData>
    <row r="1" spans="1:9" ht="15">
      <c r="A1" t="s">
        <v>3</v>
      </c>
      <c r="I1" s="6" t="s">
        <v>25</v>
      </c>
    </row>
    <row r="2" spans="1:9" ht="15">
      <c r="A2" t="s">
        <v>50</v>
      </c>
      <c r="I2" t="s">
        <v>53</v>
      </c>
    </row>
    <row r="3" spans="1:9" ht="15">
      <c r="A3" t="s">
        <v>7</v>
      </c>
      <c r="B3">
        <v>0.01</v>
      </c>
      <c r="C3" t="s">
        <v>12</v>
      </c>
      <c r="D3" t="s">
        <v>13</v>
      </c>
      <c r="E3">
        <v>0.35</v>
      </c>
      <c r="F3" t="s">
        <v>18</v>
      </c>
      <c r="I3" t="s">
        <v>52</v>
      </c>
    </row>
    <row r="4" spans="1:6" ht="15">
      <c r="A4" t="s">
        <v>9</v>
      </c>
      <c r="B4">
        <v>0.45</v>
      </c>
      <c r="C4" t="s">
        <v>12</v>
      </c>
      <c r="D4" t="s">
        <v>14</v>
      </c>
      <c r="E4">
        <v>0.43</v>
      </c>
      <c r="F4" t="s">
        <v>18</v>
      </c>
    </row>
    <row r="5" spans="1:6" ht="15">
      <c r="A5" t="s">
        <v>8</v>
      </c>
      <c r="B5">
        <v>0.024</v>
      </c>
      <c r="C5" t="s">
        <v>12</v>
      </c>
      <c r="D5" t="s">
        <v>15</v>
      </c>
      <c r="E5">
        <v>1.4</v>
      </c>
      <c r="F5" t="s">
        <v>18</v>
      </c>
    </row>
    <row r="6" ht="15">
      <c r="I6" s="6" t="s">
        <v>26</v>
      </c>
    </row>
    <row r="7" spans="1:9" ht="15">
      <c r="A7" t="s">
        <v>142</v>
      </c>
      <c r="I7" t="s">
        <v>54</v>
      </c>
    </row>
    <row r="8" spans="1:9" ht="15">
      <c r="A8" t="s">
        <v>143</v>
      </c>
      <c r="I8" t="s">
        <v>55</v>
      </c>
    </row>
    <row r="9" ht="15">
      <c r="A9" t="s">
        <v>144</v>
      </c>
    </row>
    <row r="10" spans="9:11" ht="17.25">
      <c r="I10" t="s">
        <v>56</v>
      </c>
      <c r="J10" s="8">
        <f>F11*(B11-B12)</f>
        <v>20</v>
      </c>
      <c r="K10" t="s">
        <v>59</v>
      </c>
    </row>
    <row r="11" spans="1:7" ht="17.25">
      <c r="A11" t="s">
        <v>22</v>
      </c>
      <c r="B11">
        <v>20</v>
      </c>
      <c r="C11" t="s">
        <v>24</v>
      </c>
      <c r="E11" t="s">
        <v>30</v>
      </c>
      <c r="F11">
        <v>8</v>
      </c>
      <c r="G11" t="s">
        <v>32</v>
      </c>
    </row>
    <row r="12" spans="1:9" ht="17.25">
      <c r="A12" t="s">
        <v>51</v>
      </c>
      <c r="B12">
        <v>17.5</v>
      </c>
      <c r="C12" t="s">
        <v>24</v>
      </c>
      <c r="E12" t="s">
        <v>31</v>
      </c>
      <c r="F12">
        <v>24</v>
      </c>
      <c r="G12" t="s">
        <v>32</v>
      </c>
      <c r="I12" t="s">
        <v>66</v>
      </c>
    </row>
    <row r="14" ht="15">
      <c r="I14" t="s">
        <v>57</v>
      </c>
    </row>
    <row r="15" ht="15">
      <c r="I15" t="s">
        <v>58</v>
      </c>
    </row>
    <row r="17" spans="9:10" ht="15">
      <c r="I17" t="s">
        <v>67</v>
      </c>
      <c r="J17" t="s">
        <v>68</v>
      </c>
    </row>
    <row r="19" spans="10:13" ht="18.75">
      <c r="J19" t="s">
        <v>70</v>
      </c>
      <c r="L19" s="5">
        <f>1/F11+B3/E3+B4/E4+B5/E5+1/F12</f>
        <v>1.2588925802879292</v>
      </c>
      <c r="M19" t="s">
        <v>33</v>
      </c>
    </row>
    <row r="21" spans="9:12" ht="15">
      <c r="I21" t="s">
        <v>34</v>
      </c>
      <c r="J21" t="s">
        <v>69</v>
      </c>
      <c r="K21" s="5">
        <f>B11-J10*L19</f>
        <v>-5.177851605758583</v>
      </c>
      <c r="L21" t="s">
        <v>24</v>
      </c>
    </row>
    <row r="23" ht="15">
      <c r="I23" t="s">
        <v>71</v>
      </c>
    </row>
    <row r="24" ht="15">
      <c r="I24" t="s">
        <v>72</v>
      </c>
    </row>
    <row r="25" spans="8:12" ht="18">
      <c r="H25" s="8" t="s">
        <v>60</v>
      </c>
      <c r="I25" t="s">
        <v>62</v>
      </c>
      <c r="K25" s="8">
        <f>$B$11-$J$10*(1/$F$11+$B3/$E3)</f>
        <v>16.928571428571427</v>
      </c>
      <c r="L25" t="s">
        <v>24</v>
      </c>
    </row>
    <row r="26" spans="8:12" ht="18">
      <c r="H26" s="8" t="s">
        <v>61</v>
      </c>
      <c r="I26" t="s">
        <v>65</v>
      </c>
      <c r="K26" s="8">
        <f>$B$11-$J$10*(1/$F$11+B3/E3+B4/E4)</f>
        <v>-4.001661129568106</v>
      </c>
      <c r="L26" t="s">
        <v>24</v>
      </c>
    </row>
    <row r="27" spans="8:12" ht="18">
      <c r="H27" s="5" t="s">
        <v>63</v>
      </c>
      <c r="I27" t="s">
        <v>64</v>
      </c>
      <c r="K27" s="8">
        <f>B11-J10*(1/F11+B3/E3+B4/E4+B5/E5)</f>
        <v>-4.344518272425248</v>
      </c>
      <c r="L27" t="s">
        <v>24</v>
      </c>
    </row>
    <row r="28" ht="15">
      <c r="H28" s="5"/>
    </row>
    <row r="48" ht="15">
      <c r="K48" s="5"/>
    </row>
    <row r="49" ht="15">
      <c r="K4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8" sqref="A8:A10"/>
    </sheetView>
  </sheetViews>
  <sheetFormatPr defaultColWidth="9.140625" defaultRowHeight="15"/>
  <cols>
    <col min="9" max="9" width="16.421875" style="0" customWidth="1"/>
    <col min="10" max="10" width="15.7109375" style="0" customWidth="1"/>
    <col min="11" max="11" width="24.00390625" style="0" customWidth="1"/>
    <col min="12" max="12" width="25.28125" style="0" customWidth="1"/>
  </cols>
  <sheetData>
    <row r="1" spans="1:9" ht="15">
      <c r="A1" t="s">
        <v>3</v>
      </c>
      <c r="I1" s="6" t="s">
        <v>25</v>
      </c>
    </row>
    <row r="2" spans="1:9" ht="15">
      <c r="A2" t="s">
        <v>50</v>
      </c>
      <c r="I2" t="s">
        <v>53</v>
      </c>
    </row>
    <row r="3" spans="1:9" ht="15">
      <c r="A3" t="s">
        <v>7</v>
      </c>
      <c r="B3">
        <v>0.01</v>
      </c>
      <c r="C3" t="s">
        <v>12</v>
      </c>
      <c r="D3" t="s">
        <v>13</v>
      </c>
      <c r="E3">
        <v>0.35</v>
      </c>
      <c r="F3" t="s">
        <v>18</v>
      </c>
      <c r="I3" t="s">
        <v>52</v>
      </c>
    </row>
    <row r="4" spans="1:9" ht="15">
      <c r="A4" t="s">
        <v>9</v>
      </c>
      <c r="B4">
        <v>0.45</v>
      </c>
      <c r="C4" t="s">
        <v>12</v>
      </c>
      <c r="D4" t="s">
        <v>14</v>
      </c>
      <c r="E4">
        <v>0.43</v>
      </c>
      <c r="F4" t="s">
        <v>18</v>
      </c>
      <c r="I4" t="s">
        <v>86</v>
      </c>
    </row>
    <row r="5" spans="1:6" ht="15">
      <c r="A5" t="s">
        <v>8</v>
      </c>
      <c r="B5">
        <v>0.02</v>
      </c>
      <c r="C5" t="s">
        <v>12</v>
      </c>
      <c r="D5" t="s">
        <v>15</v>
      </c>
      <c r="E5">
        <v>0.039</v>
      </c>
      <c r="F5" t="s">
        <v>18</v>
      </c>
    </row>
    <row r="6" spans="1:9" ht="15">
      <c r="A6" t="s">
        <v>10</v>
      </c>
      <c r="B6">
        <v>0.024</v>
      </c>
      <c r="D6" t="s">
        <v>16</v>
      </c>
      <c r="E6">
        <v>1.4</v>
      </c>
      <c r="F6" t="s">
        <v>18</v>
      </c>
      <c r="I6" s="6" t="s">
        <v>26</v>
      </c>
    </row>
    <row r="7" ht="15">
      <c r="I7" t="s">
        <v>74</v>
      </c>
    </row>
    <row r="8" spans="1:9" ht="15">
      <c r="A8" t="s">
        <v>142</v>
      </c>
      <c r="I8" t="s">
        <v>75</v>
      </c>
    </row>
    <row r="9" spans="1:11" ht="15">
      <c r="A9" t="s">
        <v>143</v>
      </c>
      <c r="I9" t="s">
        <v>77</v>
      </c>
      <c r="J9" s="1" t="s">
        <v>78</v>
      </c>
      <c r="K9" t="s">
        <v>133</v>
      </c>
    </row>
    <row r="10" ht="15">
      <c r="A10" t="s">
        <v>144</v>
      </c>
    </row>
    <row r="11" spans="9:13" ht="17.25">
      <c r="I11" t="s">
        <v>76</v>
      </c>
      <c r="L11" s="8">
        <f>(B12-B13)/(1/F12+B3/E3+B4/E4+B5/E5+B6/E6)</f>
        <v>9.826325895175124</v>
      </c>
      <c r="M11" t="s">
        <v>59</v>
      </c>
    </row>
    <row r="12" spans="1:7" ht="17.25">
      <c r="A12" t="s">
        <v>22</v>
      </c>
      <c r="B12">
        <v>22</v>
      </c>
      <c r="C12" t="s">
        <v>24</v>
      </c>
      <c r="E12" t="s">
        <v>30</v>
      </c>
      <c r="F12">
        <v>8</v>
      </c>
      <c r="G12" t="s">
        <v>32</v>
      </c>
    </row>
    <row r="13" spans="1:9" ht="17.25">
      <c r="A13" t="s">
        <v>73</v>
      </c>
      <c r="B13">
        <v>5</v>
      </c>
      <c r="C13" t="s">
        <v>24</v>
      </c>
      <c r="E13" t="s">
        <v>31</v>
      </c>
      <c r="F13">
        <v>24</v>
      </c>
      <c r="G13" t="s">
        <v>32</v>
      </c>
      <c r="I13" t="s">
        <v>66</v>
      </c>
    </row>
    <row r="15" ht="15">
      <c r="I15" t="s">
        <v>79</v>
      </c>
    </row>
    <row r="16" ht="15">
      <c r="I16" t="s">
        <v>58</v>
      </c>
    </row>
    <row r="19" spans="9:11" ht="15">
      <c r="I19" t="s">
        <v>80</v>
      </c>
      <c r="J19" s="8">
        <f>B13-L11/F13</f>
        <v>4.590569754367703</v>
      </c>
      <c r="K19" t="s">
        <v>24</v>
      </c>
    </row>
    <row r="20" ht="15">
      <c r="L20" s="5"/>
    </row>
    <row r="22" ht="15">
      <c r="I22" t="s">
        <v>81</v>
      </c>
    </row>
    <row r="24" spans="8:12" ht="18">
      <c r="H24" s="8" t="s">
        <v>60</v>
      </c>
      <c r="I24" t="s">
        <v>62</v>
      </c>
      <c r="K24" s="8">
        <f>$B$12-$L$11*(1/$F$12+$B3/$E3)</f>
        <v>20.490957094669536</v>
      </c>
      <c r="L24" t="s">
        <v>24</v>
      </c>
    </row>
    <row r="25" spans="8:12" ht="18">
      <c r="H25" s="8" t="s">
        <v>61</v>
      </c>
      <c r="I25" t="s">
        <v>65</v>
      </c>
      <c r="K25" s="8">
        <f>$B$12-$L$11*(1/$F$12+B3/E3+B4/E4)</f>
        <v>10.207592785765335</v>
      </c>
      <c r="L25" t="s">
        <v>24</v>
      </c>
    </row>
    <row r="26" spans="8:12" ht="18">
      <c r="H26" s="5" t="s">
        <v>82</v>
      </c>
      <c r="I26" t="s">
        <v>83</v>
      </c>
      <c r="K26" s="8">
        <f>B12-L11*(1/F12+B3/E3+B4/E4+B5/E5)</f>
        <v>5.168451301060145</v>
      </c>
      <c r="L26" t="s">
        <v>24</v>
      </c>
    </row>
    <row r="27" ht="15">
      <c r="H27" s="5"/>
    </row>
    <row r="28" spans="8:10" ht="15">
      <c r="H28" t="s">
        <v>85</v>
      </c>
      <c r="I28" t="s">
        <v>84</v>
      </c>
      <c r="J28">
        <v>5</v>
      </c>
    </row>
    <row r="47" ht="15">
      <c r="K47" s="5"/>
    </row>
    <row r="48" ht="15">
      <c r="K4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7" sqref="A7:A9"/>
    </sheetView>
  </sheetViews>
  <sheetFormatPr defaultColWidth="9.140625" defaultRowHeight="15"/>
  <cols>
    <col min="9" max="9" width="13.8515625" style="0" customWidth="1"/>
    <col min="10" max="10" width="11.8515625" style="0" customWidth="1"/>
    <col min="11" max="11" width="24.00390625" style="0" customWidth="1"/>
    <col min="12" max="12" width="25.28125" style="0" customWidth="1"/>
  </cols>
  <sheetData>
    <row r="1" spans="1:9" ht="15">
      <c r="A1" t="s">
        <v>3</v>
      </c>
      <c r="I1" s="6" t="s">
        <v>25</v>
      </c>
    </row>
    <row r="2" spans="1:9" ht="15">
      <c r="A2" t="s">
        <v>50</v>
      </c>
      <c r="I2" t="s">
        <v>53</v>
      </c>
    </row>
    <row r="3" spans="1:9" ht="15">
      <c r="A3" t="s">
        <v>7</v>
      </c>
      <c r="B3">
        <v>0.02</v>
      </c>
      <c r="C3" t="s">
        <v>12</v>
      </c>
      <c r="D3" t="s">
        <v>13</v>
      </c>
      <c r="E3">
        <v>0.35</v>
      </c>
      <c r="F3" t="s">
        <v>18</v>
      </c>
      <c r="I3" t="s">
        <v>122</v>
      </c>
    </row>
    <row r="4" spans="1:9" ht="15">
      <c r="A4" t="s">
        <v>9</v>
      </c>
      <c r="B4">
        <v>0.45</v>
      </c>
      <c r="C4" t="s">
        <v>12</v>
      </c>
      <c r="D4" t="s">
        <v>14</v>
      </c>
      <c r="E4">
        <v>0.72</v>
      </c>
      <c r="F4" t="s">
        <v>18</v>
      </c>
      <c r="I4" t="s">
        <v>121</v>
      </c>
    </row>
    <row r="5" spans="1:6" ht="15">
      <c r="A5" t="s">
        <v>8</v>
      </c>
      <c r="B5">
        <v>0.024</v>
      </c>
      <c r="C5" t="s">
        <v>12</v>
      </c>
      <c r="D5" t="s">
        <v>15</v>
      </c>
      <c r="E5">
        <v>1.4</v>
      </c>
      <c r="F5" t="s">
        <v>18</v>
      </c>
    </row>
    <row r="6" ht="15">
      <c r="I6" s="6" t="s">
        <v>26</v>
      </c>
    </row>
    <row r="7" spans="1:9" ht="15">
      <c r="A7" t="s">
        <v>142</v>
      </c>
      <c r="I7" t="s">
        <v>54</v>
      </c>
    </row>
    <row r="8" spans="1:9" ht="15">
      <c r="A8" t="s">
        <v>143</v>
      </c>
      <c r="I8" t="s">
        <v>55</v>
      </c>
    </row>
    <row r="9" ht="15">
      <c r="A9" t="s">
        <v>144</v>
      </c>
    </row>
    <row r="10" spans="9:11" ht="17.25">
      <c r="I10" t="s">
        <v>56</v>
      </c>
      <c r="J10" s="8">
        <f>F11*(B11-B12)</f>
        <v>10.400000000000006</v>
      </c>
      <c r="K10" t="s">
        <v>59</v>
      </c>
    </row>
    <row r="11" spans="1:7" ht="17.25">
      <c r="A11" t="s">
        <v>22</v>
      </c>
      <c r="B11">
        <v>22</v>
      </c>
      <c r="C11" t="s">
        <v>24</v>
      </c>
      <c r="E11" t="s">
        <v>30</v>
      </c>
      <c r="F11">
        <v>8</v>
      </c>
      <c r="G11" t="s">
        <v>32</v>
      </c>
    </row>
    <row r="12" spans="1:9" ht="17.25">
      <c r="A12" t="s">
        <v>51</v>
      </c>
      <c r="B12">
        <v>20.7</v>
      </c>
      <c r="C12" t="s">
        <v>24</v>
      </c>
      <c r="E12" t="s">
        <v>31</v>
      </c>
      <c r="F12">
        <v>24</v>
      </c>
      <c r="G12" t="s">
        <v>32</v>
      </c>
      <c r="I12" t="s">
        <v>123</v>
      </c>
    </row>
    <row r="14" spans="9:13" ht="17.25">
      <c r="I14" t="s">
        <v>124</v>
      </c>
      <c r="L14" s="5">
        <f>1/(1/F11+B3/E3+B4/E4+B5/E5+1/F12)</f>
        <v>1.154797910365686</v>
      </c>
      <c r="M14" t="s">
        <v>32</v>
      </c>
    </row>
    <row r="17" ht="15">
      <c r="I17" t="s">
        <v>126</v>
      </c>
    </row>
    <row r="19" ht="15">
      <c r="I19" t="s">
        <v>57</v>
      </c>
    </row>
    <row r="20" ht="15">
      <c r="I20" t="s">
        <v>58</v>
      </c>
    </row>
    <row r="22" spans="9:10" ht="15">
      <c r="I22" t="s">
        <v>67</v>
      </c>
      <c r="J22" t="s">
        <v>68</v>
      </c>
    </row>
    <row r="24" spans="10:12" ht="18.75">
      <c r="J24" t="s">
        <v>125</v>
      </c>
      <c r="K24" s="5">
        <f>1/L14</f>
        <v>0.8659523809523809</v>
      </c>
      <c r="L24" t="s">
        <v>33</v>
      </c>
    </row>
    <row r="26" spans="9:12" ht="15">
      <c r="I26" t="s">
        <v>34</v>
      </c>
      <c r="J26" t="s">
        <v>69</v>
      </c>
      <c r="K26" s="8">
        <f>B11-J10*K24</f>
        <v>12.994095238095234</v>
      </c>
      <c r="L26" t="s">
        <v>24</v>
      </c>
    </row>
    <row r="28" ht="15">
      <c r="I28" t="s">
        <v>71</v>
      </c>
    </row>
    <row r="29" ht="15">
      <c r="I29" t="s">
        <v>72</v>
      </c>
    </row>
    <row r="30" spans="8:12" ht="18">
      <c r="H30" s="8" t="s">
        <v>60</v>
      </c>
      <c r="I30" t="s">
        <v>62</v>
      </c>
      <c r="K30" s="8">
        <f>$B$11-$J$10*(1/$F$11+$B3/$E3)</f>
        <v>20.105714285714285</v>
      </c>
      <c r="L30" t="s">
        <v>24</v>
      </c>
    </row>
    <row r="31" spans="8:12" ht="18">
      <c r="H31" s="8" t="s">
        <v>61</v>
      </c>
      <c r="I31" t="s">
        <v>65</v>
      </c>
      <c r="K31" s="8">
        <f>$B$11-$J$10*(1/$F$11+B3/E3+B4/E4)</f>
        <v>13.605714285714281</v>
      </c>
      <c r="L31" t="s">
        <v>24</v>
      </c>
    </row>
    <row r="32" spans="8:12" ht="18">
      <c r="H32" s="5" t="s">
        <v>63</v>
      </c>
      <c r="I32" t="s">
        <v>64</v>
      </c>
      <c r="K32" s="8">
        <f>B11-J10*(1/F11+B3/E3+B4/E4+B5/E5)</f>
        <v>13.427428571428567</v>
      </c>
      <c r="L32" t="s">
        <v>24</v>
      </c>
    </row>
    <row r="33" ht="15">
      <c r="H33" s="5"/>
    </row>
    <row r="53" ht="15">
      <c r="K53" s="5"/>
    </row>
    <row r="54" ht="15">
      <c r="K5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A14" sqref="A14:A16"/>
    </sheetView>
  </sheetViews>
  <sheetFormatPr defaultColWidth="9.140625" defaultRowHeight="15"/>
  <cols>
    <col min="9" max="9" width="17.28125" style="0" customWidth="1"/>
    <col min="10" max="10" width="17.7109375" style="0" customWidth="1"/>
    <col min="11" max="11" width="20.7109375" style="0" customWidth="1"/>
    <col min="12" max="12" width="25.28125" style="0" customWidth="1"/>
  </cols>
  <sheetData>
    <row r="1" spans="1:9" ht="15">
      <c r="A1" t="s">
        <v>3</v>
      </c>
      <c r="I1" s="6" t="s">
        <v>25</v>
      </c>
    </row>
    <row r="2" spans="1:9" ht="15">
      <c r="A2" t="s">
        <v>50</v>
      </c>
      <c r="I2" t="s">
        <v>53</v>
      </c>
    </row>
    <row r="3" spans="1:9" ht="15">
      <c r="A3" t="s">
        <v>7</v>
      </c>
      <c r="B3">
        <v>0.02</v>
      </c>
      <c r="C3" t="s">
        <v>12</v>
      </c>
      <c r="D3" t="s">
        <v>13</v>
      </c>
      <c r="E3">
        <v>0.65</v>
      </c>
      <c r="F3" t="s">
        <v>18</v>
      </c>
      <c r="I3" t="s">
        <v>87</v>
      </c>
    </row>
    <row r="4" spans="1:9" ht="15">
      <c r="A4" t="s">
        <v>9</v>
      </c>
      <c r="B4">
        <v>0.15</v>
      </c>
      <c r="C4" t="s">
        <v>12</v>
      </c>
      <c r="D4" t="s">
        <v>14</v>
      </c>
      <c r="E4">
        <v>0.9</v>
      </c>
      <c r="F4" t="s">
        <v>18</v>
      </c>
      <c r="I4" t="s">
        <v>117</v>
      </c>
    </row>
    <row r="5" spans="1:6" ht="15">
      <c r="A5" t="s">
        <v>8</v>
      </c>
      <c r="B5">
        <v>0.03</v>
      </c>
      <c r="C5" t="s">
        <v>12</v>
      </c>
      <c r="D5" t="s">
        <v>15</v>
      </c>
      <c r="E5">
        <v>1.2</v>
      </c>
      <c r="F5" t="s">
        <v>18</v>
      </c>
    </row>
    <row r="6" ht="15">
      <c r="I6" s="6" t="s">
        <v>26</v>
      </c>
    </row>
    <row r="7" spans="1:9" ht="17.25">
      <c r="A7" t="s">
        <v>22</v>
      </c>
      <c r="B7">
        <v>21</v>
      </c>
      <c r="C7" t="s">
        <v>24</v>
      </c>
      <c r="E7" t="s">
        <v>30</v>
      </c>
      <c r="F7">
        <v>8</v>
      </c>
      <c r="G7" t="s">
        <v>32</v>
      </c>
      <c r="I7" t="s">
        <v>89</v>
      </c>
    </row>
    <row r="8" spans="1:9" ht="17.25">
      <c r="A8" t="s">
        <v>23</v>
      </c>
      <c r="B8">
        <v>3</v>
      </c>
      <c r="C8" t="s">
        <v>24</v>
      </c>
      <c r="E8" t="s">
        <v>31</v>
      </c>
      <c r="F8">
        <v>24</v>
      </c>
      <c r="G8" t="s">
        <v>32</v>
      </c>
      <c r="I8" t="s">
        <v>88</v>
      </c>
    </row>
    <row r="10" spans="9:11" ht="17.25">
      <c r="I10" t="s">
        <v>90</v>
      </c>
      <c r="J10" s="8">
        <f>(B7-B8)/K13</f>
        <v>46.26029654036244</v>
      </c>
      <c r="K10" t="s">
        <v>59</v>
      </c>
    </row>
    <row r="11" ht="15">
      <c r="A11" t="s">
        <v>118</v>
      </c>
    </row>
    <row r="12" spans="1:9" ht="15">
      <c r="A12" t="s">
        <v>119</v>
      </c>
      <c r="B12">
        <v>0.042</v>
      </c>
      <c r="C12" t="s">
        <v>18</v>
      </c>
      <c r="I12" t="s">
        <v>91</v>
      </c>
    </row>
    <row r="13" spans="9:12" ht="18.75">
      <c r="I13" t="s">
        <v>92</v>
      </c>
      <c r="K13" s="5">
        <f>1/F7+B3/E3+B4/E4+B5/E5+1/F8</f>
        <v>0.3891025641025641</v>
      </c>
      <c r="L13" t="s">
        <v>33</v>
      </c>
    </row>
    <row r="14" ht="15">
      <c r="A14" t="s">
        <v>142</v>
      </c>
    </row>
    <row r="15" spans="1:9" ht="15">
      <c r="A15" t="s">
        <v>143</v>
      </c>
      <c r="I15" t="s">
        <v>93</v>
      </c>
    </row>
    <row r="16" ht="15">
      <c r="A16" t="s">
        <v>144</v>
      </c>
    </row>
    <row r="17" ht="15">
      <c r="I17" t="s">
        <v>57</v>
      </c>
    </row>
    <row r="18" ht="15">
      <c r="I18" t="s">
        <v>94</v>
      </c>
    </row>
    <row r="20" spans="9:10" ht="15">
      <c r="I20" t="s">
        <v>67</v>
      </c>
      <c r="J20" t="s">
        <v>95</v>
      </c>
    </row>
    <row r="21" ht="15">
      <c r="I21" t="s">
        <v>96</v>
      </c>
    </row>
    <row r="22" spans="9:12" ht="15">
      <c r="I22" t="s">
        <v>97</v>
      </c>
      <c r="J22" t="s">
        <v>98</v>
      </c>
      <c r="K22" s="8">
        <f>B7-J10*1/F7</f>
        <v>15.217462932454694</v>
      </c>
      <c r="L22" t="s">
        <v>24</v>
      </c>
    </row>
    <row r="25" ht="15">
      <c r="I25" t="s">
        <v>71</v>
      </c>
    </row>
    <row r="26" ht="15">
      <c r="I26" t="s">
        <v>72</v>
      </c>
    </row>
    <row r="27" spans="8:12" ht="18">
      <c r="H27" s="8" t="s">
        <v>60</v>
      </c>
      <c r="I27" t="s">
        <v>62</v>
      </c>
      <c r="K27">
        <f>$B$7-$J$10*(1/$F$7+$B3/$E3)</f>
        <v>13.794069192751234</v>
      </c>
      <c r="L27" t="s">
        <v>24</v>
      </c>
    </row>
    <row r="28" spans="8:12" ht="18">
      <c r="H28" s="8" t="s">
        <v>61</v>
      </c>
      <c r="I28" t="s">
        <v>65</v>
      </c>
      <c r="K28">
        <f>$B$7-$J$10*(1/$F$7+B3/E3+B4/E4)</f>
        <v>6.084019769357496</v>
      </c>
      <c r="L28" t="s">
        <v>24</v>
      </c>
    </row>
    <row r="29" spans="8:12" ht="18">
      <c r="H29" s="5" t="s">
        <v>63</v>
      </c>
      <c r="I29" t="s">
        <v>64</v>
      </c>
      <c r="K29">
        <f>B7-J10*(1/F7+B3/E3+B4/E4+B5/E5)</f>
        <v>4.927512355848435</v>
      </c>
      <c r="L29" t="s">
        <v>24</v>
      </c>
    </row>
    <row r="30" ht="15">
      <c r="H30" s="5"/>
    </row>
    <row r="32" ht="15">
      <c r="I32" t="s">
        <v>99</v>
      </c>
    </row>
    <row r="33" ht="15">
      <c r="I33" t="s">
        <v>101</v>
      </c>
    </row>
    <row r="34" ht="15">
      <c r="I34" t="s">
        <v>100</v>
      </c>
    </row>
    <row r="36" ht="15">
      <c r="I36" t="s">
        <v>102</v>
      </c>
    </row>
    <row r="37" ht="15">
      <c r="I37" t="s">
        <v>104</v>
      </c>
    </row>
    <row r="39" ht="15">
      <c r="H39" t="s">
        <v>105</v>
      </c>
    </row>
    <row r="40" ht="15">
      <c r="I40" t="s">
        <v>103</v>
      </c>
    </row>
    <row r="42" ht="15">
      <c r="H42" t="s">
        <v>107</v>
      </c>
    </row>
    <row r="43" ht="15">
      <c r="I43" t="s">
        <v>106</v>
      </c>
    </row>
    <row r="44" ht="15">
      <c r="H44" t="s">
        <v>108</v>
      </c>
    </row>
    <row r="45" spans="9:10" ht="15">
      <c r="I45" t="s">
        <v>109</v>
      </c>
      <c r="J45" s="5">
        <f>(B7-B8)/(0.7*J10)</f>
        <v>0.5558608058608059</v>
      </c>
    </row>
    <row r="47" ht="15">
      <c r="I47" t="s">
        <v>110</v>
      </c>
    </row>
    <row r="48" ht="15">
      <c r="I48" t="s">
        <v>111</v>
      </c>
    </row>
    <row r="50" spans="9:11" ht="15">
      <c r="I50" t="s">
        <v>112</v>
      </c>
      <c r="K50" s="5"/>
    </row>
    <row r="51" spans="9:11" ht="15">
      <c r="I51" t="s">
        <v>113</v>
      </c>
      <c r="K51" s="3"/>
    </row>
    <row r="52" spans="9:10" ht="18">
      <c r="I52" t="s">
        <v>114</v>
      </c>
      <c r="J52" t="s">
        <v>115</v>
      </c>
    </row>
    <row r="54" spans="9:11" ht="15">
      <c r="I54" t="s">
        <v>116</v>
      </c>
      <c r="J54" s="4">
        <f>B12*(J45-K13)</f>
        <v>0.007003846153846155</v>
      </c>
      <c r="K54" t="s">
        <v>12</v>
      </c>
    </row>
    <row r="55" spans="10:11" ht="15">
      <c r="J55">
        <v>7</v>
      </c>
      <c r="K55" t="s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2018-01-04T20:36:31Z</dcterms:modified>
  <cp:category/>
  <cp:version/>
  <cp:contentType/>
  <cp:contentStatus/>
</cp:coreProperties>
</file>