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7" activeTab="1"/>
  </bookViews>
  <sheets>
    <sheet name="CLORO" sheetId="1" r:id="rId1"/>
    <sheet name="NO CLORO" sheetId="2" r:id="rId2"/>
    <sheet name="Foglio2" sheetId="3" r:id="rId3"/>
    <sheet name="Foglio3" sheetId="4" r:id="rId4"/>
  </sheets>
  <definedNames>
    <definedName name="VOL">'CLORO'!$V$18</definedName>
  </definedNames>
  <calcPr fullCalcOnLoad="1"/>
</workbook>
</file>

<file path=xl/sharedStrings.xml><?xml version="1.0" encoding="utf-8"?>
<sst xmlns="http://schemas.openxmlformats.org/spreadsheetml/2006/main" count="298" uniqueCount="119">
  <si>
    <t>MODULO DI CALCOLO PER IL RECUPERO DELLE ACQUE</t>
  </si>
  <si>
    <t>MESE</t>
  </si>
  <si>
    <t>PRECIPIT.NE MM</t>
  </si>
  <si>
    <t>PIOGGIA mm</t>
  </si>
  <si>
    <t>INPUT CISTERNA</t>
  </si>
  <si>
    <t>FABB. DOMESTICO</t>
  </si>
  <si>
    <t>FABB. IRRIGUO</t>
  </si>
  <si>
    <t>FABB. TOTALE</t>
  </si>
  <si>
    <t>BILANCIO MENSILE</t>
  </si>
  <si>
    <t>VOLUME ACQUA</t>
  </si>
  <si>
    <t>ACQUA RECUPERATA</t>
  </si>
  <si>
    <t>gennaio</t>
  </si>
  <si>
    <t>TIPO UTENZA</t>
  </si>
  <si>
    <t>litri/g</t>
  </si>
  <si>
    <t xml:space="preserve">Numero </t>
  </si>
  <si>
    <t>Periodo</t>
  </si>
  <si>
    <t xml:space="preserve">CONSUMO ANNUO </t>
  </si>
  <si>
    <t>febbraio</t>
  </si>
  <si>
    <t>x persona</t>
  </si>
  <si>
    <t>di persone</t>
  </si>
  <si>
    <t>in giorni</t>
  </si>
  <si>
    <t>ACQUA DI SERVIZIO</t>
  </si>
  <si>
    <t>marzo</t>
  </si>
  <si>
    <t>WC</t>
  </si>
  <si>
    <t>aprile</t>
  </si>
  <si>
    <t>Lavatrice</t>
  </si>
  <si>
    <t>maggio</t>
  </si>
  <si>
    <t>VUOTA</t>
  </si>
  <si>
    <t>Pulizie</t>
  </si>
  <si>
    <t>giugno</t>
  </si>
  <si>
    <t>Altro</t>
  </si>
  <si>
    <t>luglio</t>
  </si>
  <si>
    <t>SOMMA DEL FABBISOGNO (1)</t>
  </si>
  <si>
    <t>agosto</t>
  </si>
  <si>
    <t>settembre</t>
  </si>
  <si>
    <t>TIPO IRRIGAZIONE</t>
  </si>
  <si>
    <t>Fabbisogno</t>
  </si>
  <si>
    <t>Area da irrigare</t>
  </si>
  <si>
    <t>ottobre</t>
  </si>
  <si>
    <t xml:space="preserve"> </t>
  </si>
  <si>
    <t>lt mq/ anno</t>
  </si>
  <si>
    <t xml:space="preserve"> mq</t>
  </si>
  <si>
    <t>ACQUA IRRIG.</t>
  </si>
  <si>
    <t>novembre</t>
  </si>
  <si>
    <t>Irrigazione orto</t>
  </si>
  <si>
    <t>dicembre</t>
  </si>
  <si>
    <t>Impianti sportivi (periodo vegetativo)</t>
  </si>
  <si>
    <t>Per aree verdi con terreno leggero</t>
  </si>
  <si>
    <t>ACQUA IN ECCESSO</t>
  </si>
  <si>
    <t>Per aree verdi con terreno pesante</t>
  </si>
  <si>
    <t>NON CUMULABILE</t>
  </si>
  <si>
    <t>VOLUME CISTERNA</t>
  </si>
  <si>
    <t>SOMMA DEL FABBISOGNO (2)</t>
  </si>
  <si>
    <t>FABBISOGNO TOTALE (1) + (2) (LITRI/ANNO)</t>
  </si>
  <si>
    <t>VOLUME ACQUA CUMULABILE</t>
  </si>
  <si>
    <t>VOLUME ACQUA REC in  cisterna</t>
  </si>
  <si>
    <t>SISTEMA 1 – RECUPERO ACQUE METEORICHE</t>
  </si>
  <si>
    <t>Captazione</t>
  </si>
  <si>
    <t xml:space="preserve">Coef. di </t>
  </si>
  <si>
    <t>Precipitazioni</t>
  </si>
  <si>
    <t xml:space="preserve">Superficie </t>
  </si>
  <si>
    <t>recupero %</t>
  </si>
  <si>
    <t>annua mm</t>
  </si>
  <si>
    <t>captante in mq</t>
  </si>
  <si>
    <t>totale in lt</t>
  </si>
  <si>
    <t>Tetto duro spiovente &gt;3%</t>
  </si>
  <si>
    <t>Tetto duro&lt;3%</t>
  </si>
  <si>
    <t>Tetto piatto ghiaioso</t>
  </si>
  <si>
    <t>Tetto verde intensivo</t>
  </si>
  <si>
    <t>Tetto verde estensivo</t>
  </si>
  <si>
    <t>Superficie lastricata</t>
  </si>
  <si>
    <t>ALTRO</t>
  </si>
  <si>
    <t>somma totale dei lt captati in un anno</t>
  </si>
  <si>
    <t>SISTEMA 2 – RECUPERO ACQUE GRIGIE</t>
  </si>
  <si>
    <t>PROVENIENZA da</t>
  </si>
  <si>
    <t>Acqua</t>
  </si>
  <si>
    <t>Numero</t>
  </si>
  <si>
    <t>GIORNI</t>
  </si>
  <si>
    <t xml:space="preserve">Totale riciclato </t>
  </si>
  <si>
    <t>max</t>
  </si>
  <si>
    <t xml:space="preserve">RICICLATA </t>
  </si>
  <si>
    <t>PERSONE</t>
  </si>
  <si>
    <t>RECUPERO</t>
  </si>
  <si>
    <t>min</t>
  </si>
  <si>
    <t>Lavandino</t>
  </si>
  <si>
    <t>Doccia</t>
  </si>
  <si>
    <t>Vasca</t>
  </si>
  <si>
    <t>SOMMA DEI LT RICICLATI IN UN ANNO</t>
  </si>
  <si>
    <t>riepilogo</t>
  </si>
  <si>
    <t>fabbisogno</t>
  </si>
  <si>
    <t>recupero meteo</t>
  </si>
  <si>
    <t>recupero grigie</t>
  </si>
  <si>
    <t xml:space="preserve"> USO residenziale </t>
  </si>
  <si>
    <t>FABBISOGNI</t>
  </si>
  <si>
    <t>USO</t>
  </si>
  <si>
    <t>ANNO</t>
  </si>
  <si>
    <t>GIORNO</t>
  </si>
  <si>
    <t>GIARDINO</t>
  </si>
  <si>
    <t>FABBISGNO IRRIGUO DISTRIBUITO IN 6 MESI</t>
  </si>
  <si>
    <t>BAGNI</t>
  </si>
  <si>
    <t>FABBISOGNO TOTALE</t>
  </si>
  <si>
    <t>DA 162 A 287</t>
  </si>
  <si>
    <t>RECUPERATO</t>
  </si>
  <si>
    <t>SISTEMA</t>
  </si>
  <si>
    <t>METEO</t>
  </si>
  <si>
    <t>GRIGIE</t>
  </si>
  <si>
    <t>riepilogo del recuperato</t>
  </si>
  <si>
    <t>Solo METEO -  LT DI ACCUMULO</t>
  </si>
  <si>
    <t>IN 21 GIORNI</t>
  </si>
  <si>
    <t xml:space="preserve">Solo GRIGIE - PRODOTTO </t>
  </si>
  <si>
    <t>ALGIORNO</t>
  </si>
  <si>
    <t>Kessel + Pontos LT DI ACCUMULO</t>
  </si>
  <si>
    <t>Apporto del Pontos in Kessel ogni giorno</t>
  </si>
  <si>
    <t xml:space="preserve">valore di lt 1di acqua in ingresso 0,0016+ valore acqua in uscita al lt 0,0011 euro 0,0027 al lt </t>
  </si>
  <si>
    <t>quanto sarebbe costata l'acqua consumata per gli usi tecnici in un periodo di anni 10</t>
  </si>
  <si>
    <t>Giorni di presenza in casa 365</t>
  </si>
  <si>
    <t>Giorni di presenza in ufficio 210</t>
  </si>
  <si>
    <t>Giorni di presenza a scuola 200</t>
  </si>
  <si>
    <t>Volume in cisterna ACQUA RECUPERATA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</si>
</sst>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0"/>
    <numFmt numFmtId="167" formatCode="MM/YY"/>
    <numFmt numFmtId="168" formatCode="#,##0"/>
    <numFmt numFmtId="169" formatCode="0.0"/>
  </numFmts>
  <fonts count="27">
    <font>
      <sz val="10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26"/>
      <name val="Arial"/>
      <family val="2"/>
    </font>
    <font>
      <b/>
      <sz val="15"/>
      <name val="Verdana"/>
      <family val="2"/>
    </font>
    <font>
      <b/>
      <i/>
      <sz val="13"/>
      <name val="Verdana"/>
      <family val="2"/>
    </font>
    <font>
      <sz val="12"/>
      <name val="Arial"/>
      <family val="2"/>
    </font>
    <font>
      <b/>
      <sz val="18"/>
      <name val="Verdana"/>
      <family val="2"/>
    </font>
    <font>
      <sz val="15"/>
      <name val="Verdana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32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sz val="22"/>
      <color indexed="8"/>
      <name val="Arial"/>
      <family val="2"/>
    </font>
    <font>
      <sz val="18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58"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1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7" fontId="6" fillId="3" borderId="4" xfId="0" applyNumberFormat="1" applyFont="1" applyFill="1" applyBorder="1" applyAlignment="1">
      <alignment horizontal="center"/>
    </xf>
    <xf numFmtId="164" fontId="7" fillId="3" borderId="4" xfId="0" applyFont="1" applyFill="1" applyBorder="1" applyAlignment="1">
      <alignment horizontal="center" wrapText="1"/>
    </xf>
    <xf numFmtId="167" fontId="6" fillId="3" borderId="4" xfId="0" applyNumberFormat="1" applyFont="1" applyFill="1" applyBorder="1" applyAlignment="1">
      <alignment horizontal="justify"/>
    </xf>
    <xf numFmtId="164" fontId="8" fillId="0" borderId="0" xfId="0" applyFont="1" applyAlignment="1">
      <alignment/>
    </xf>
    <xf numFmtId="167" fontId="9" fillId="0" borderId="5" xfId="0" applyNumberFormat="1" applyFont="1" applyBorder="1" applyAlignment="1">
      <alignment horizontal="left" indent="1"/>
    </xf>
    <xf numFmtId="164" fontId="10" fillId="0" borderId="6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/>
    </xf>
    <xf numFmtId="166" fontId="5" fillId="4" borderId="4" xfId="0" applyNumberFormat="1" applyFont="1" applyFill="1" applyBorder="1" applyAlignment="1">
      <alignment/>
    </xf>
    <xf numFmtId="166" fontId="5" fillId="5" borderId="4" xfId="0" applyNumberFormat="1" applyFont="1" applyFill="1" applyBorder="1" applyAlignment="1">
      <alignment/>
    </xf>
    <xf numFmtId="166" fontId="5" fillId="0" borderId="4" xfId="0" applyNumberFormat="1" applyFont="1" applyBorder="1" applyAlignment="1">
      <alignment/>
    </xf>
    <xf numFmtId="166" fontId="5" fillId="6" borderId="4" xfId="0" applyNumberFormat="1" applyFont="1" applyFill="1" applyBorder="1" applyAlignment="1">
      <alignment/>
    </xf>
    <xf numFmtId="166" fontId="5" fillId="7" borderId="4" xfId="0" applyNumberFormat="1" applyFont="1" applyFill="1" applyBorder="1" applyAlignment="1">
      <alignment/>
    </xf>
    <xf numFmtId="164" fontId="11" fillId="8" borderId="8" xfId="0" applyFont="1" applyFill="1" applyBorder="1" applyAlignment="1">
      <alignment horizontal="center"/>
    </xf>
    <xf numFmtId="164" fontId="11" fillId="8" borderId="9" xfId="0" applyFont="1" applyFill="1" applyBorder="1" applyAlignment="1">
      <alignment horizontal="center"/>
    </xf>
    <xf numFmtId="164" fontId="11" fillId="8" borderId="10" xfId="0" applyFont="1" applyFill="1" applyBorder="1" applyAlignment="1">
      <alignment horizontal="center"/>
    </xf>
    <xf numFmtId="164" fontId="11" fillId="8" borderId="11" xfId="0" applyFont="1" applyFill="1" applyBorder="1" applyAlignment="1">
      <alignment horizontal="center"/>
    </xf>
    <xf numFmtId="167" fontId="9" fillId="0" borderId="12" xfId="0" applyNumberFormat="1" applyFont="1" applyBorder="1" applyAlignment="1">
      <alignment horizontal="left" indent="1"/>
    </xf>
    <xf numFmtId="164" fontId="11" fillId="8" borderId="13" xfId="0" applyFont="1" applyFill="1" applyBorder="1" applyAlignment="1">
      <alignment horizontal="center"/>
    </xf>
    <xf numFmtId="164" fontId="11" fillId="8" borderId="14" xfId="0" applyFont="1" applyFill="1" applyBorder="1" applyAlignment="1">
      <alignment horizontal="center"/>
    </xf>
    <xf numFmtId="164" fontId="11" fillId="8" borderId="15" xfId="0" applyFont="1" applyFill="1" applyBorder="1" applyAlignment="1">
      <alignment horizontal="center"/>
    </xf>
    <xf numFmtId="164" fontId="11" fillId="8" borderId="16" xfId="0" applyFont="1" applyFill="1" applyBorder="1" applyAlignment="1">
      <alignment horizontal="center"/>
    </xf>
    <xf numFmtId="164" fontId="12" fillId="0" borderId="17" xfId="0" applyFont="1" applyBorder="1" applyAlignment="1">
      <alignment horizontal="left" indent="1"/>
    </xf>
    <xf numFmtId="164" fontId="12" fillId="9" borderId="4" xfId="0" applyFont="1" applyFill="1" applyBorder="1" applyAlignment="1">
      <alignment/>
    </xf>
    <xf numFmtId="164" fontId="12" fillId="2" borderId="4" xfId="0" applyFont="1" applyFill="1" applyBorder="1" applyAlignment="1">
      <alignment/>
    </xf>
    <xf numFmtId="164" fontId="12" fillId="10" borderId="18" xfId="0" applyFont="1" applyFill="1" applyBorder="1" applyAlignment="1">
      <alignment/>
    </xf>
    <xf numFmtId="168" fontId="1" fillId="4" borderId="19" xfId="0" applyNumberFormat="1" applyFont="1" applyFill="1" applyBorder="1" applyAlignment="1">
      <alignment horizontal="right"/>
    </xf>
    <xf numFmtId="166" fontId="5" fillId="11" borderId="4" xfId="0" applyNumberFormat="1" applyFont="1" applyFill="1" applyBorder="1" applyAlignment="1">
      <alignment/>
    </xf>
    <xf numFmtId="166" fontId="5" fillId="6" borderId="20" xfId="0" applyNumberFormat="1" applyFont="1" applyFill="1" applyBorder="1" applyAlignment="1">
      <alignment/>
    </xf>
    <xf numFmtId="164" fontId="12" fillId="10" borderId="4" xfId="0" applyFont="1" applyFill="1" applyBorder="1" applyAlignment="1">
      <alignment/>
    </xf>
    <xf numFmtId="167" fontId="6" fillId="0" borderId="4" xfId="0" applyNumberFormat="1" applyFont="1" applyBorder="1" applyAlignment="1">
      <alignment horizontal="center"/>
    </xf>
    <xf numFmtId="166" fontId="5" fillId="6" borderId="21" xfId="0" applyNumberFormat="1" applyFont="1" applyFill="1" applyBorder="1" applyAlignment="1">
      <alignment/>
    </xf>
    <xf numFmtId="164" fontId="12" fillId="0" borderId="17" xfId="0" applyFont="1" applyFill="1" applyBorder="1" applyAlignment="1">
      <alignment horizontal="left" indent="1"/>
    </xf>
    <xf numFmtId="164" fontId="1" fillId="4" borderId="19" xfId="0" applyFont="1" applyFill="1" applyBorder="1" applyAlignment="1">
      <alignment horizontal="right"/>
    </xf>
    <xf numFmtId="164" fontId="1" fillId="5" borderId="22" xfId="0" applyFont="1" applyFill="1" applyBorder="1" applyAlignment="1">
      <alignment/>
    </xf>
    <xf numFmtId="164" fontId="1" fillId="5" borderId="23" xfId="0" applyFont="1" applyFill="1" applyBorder="1" applyAlignment="1">
      <alignment/>
    </xf>
    <xf numFmtId="164" fontId="1" fillId="5" borderId="24" xfId="0" applyFont="1" applyFill="1" applyBorder="1" applyAlignment="1">
      <alignment/>
    </xf>
    <xf numFmtId="168" fontId="1" fillId="5" borderId="25" xfId="0" applyNumberFormat="1" applyFont="1" applyFill="1" applyBorder="1" applyAlignment="1">
      <alignment horizontal="right"/>
    </xf>
    <xf numFmtId="164" fontId="13" fillId="0" borderId="0" xfId="0" applyFont="1" applyBorder="1" applyAlignment="1">
      <alignment/>
    </xf>
    <xf numFmtId="164" fontId="14" fillId="0" borderId="0" xfId="0" applyFont="1" applyBorder="1" applyAlignment="1">
      <alignment/>
    </xf>
    <xf numFmtId="166" fontId="5" fillId="6" borderId="26" xfId="0" applyNumberFormat="1" applyFont="1" applyFill="1" applyBorder="1" applyAlignment="1">
      <alignment/>
    </xf>
    <xf numFmtId="164" fontId="11" fillId="8" borderId="27" xfId="0" applyFont="1" applyFill="1" applyBorder="1" applyAlignment="1">
      <alignment horizontal="center"/>
    </xf>
    <xf numFmtId="164" fontId="11" fillId="8" borderId="28" xfId="0" applyFont="1" applyFill="1" applyBorder="1" applyAlignment="1">
      <alignment horizontal="center"/>
    </xf>
    <xf numFmtId="164" fontId="11" fillId="8" borderId="29" xfId="0" applyFont="1" applyFill="1" applyBorder="1" applyAlignment="1">
      <alignment horizontal="center"/>
    </xf>
    <xf numFmtId="164" fontId="11" fillId="8" borderId="30" xfId="0" applyFont="1" applyFill="1" applyBorder="1" applyAlignment="1">
      <alignment horizontal="center"/>
    </xf>
    <xf numFmtId="164" fontId="11" fillId="8" borderId="31" xfId="0" applyFont="1" applyFill="1" applyBorder="1" applyAlignment="1">
      <alignment horizontal="center"/>
    </xf>
    <xf numFmtId="164" fontId="11" fillId="8" borderId="32" xfId="0" applyFont="1" applyFill="1" applyBorder="1" applyAlignment="1">
      <alignment horizontal="center"/>
    </xf>
    <xf numFmtId="164" fontId="11" fillId="0" borderId="33" xfId="0" applyFont="1" applyBorder="1" applyAlignment="1">
      <alignment horizontal="left" indent="1"/>
    </xf>
    <xf numFmtId="164" fontId="14" fillId="0" borderId="24" xfId="0" applyFont="1" applyBorder="1" applyAlignment="1">
      <alignment/>
    </xf>
    <xf numFmtId="168" fontId="1" fillId="4" borderId="34" xfId="0" applyNumberFormat="1" applyFont="1" applyFill="1" applyBorder="1" applyAlignment="1">
      <alignment/>
    </xf>
    <xf numFmtId="167" fontId="9" fillId="0" borderId="31" xfId="0" applyNumberFormat="1" applyFont="1" applyBorder="1" applyAlignment="1">
      <alignment horizontal="left" indent="1"/>
    </xf>
    <xf numFmtId="164" fontId="10" fillId="0" borderId="35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168" fontId="15" fillId="5" borderId="0" xfId="0" applyNumberFormat="1" applyFont="1" applyFill="1" applyAlignment="1">
      <alignment/>
    </xf>
    <xf numFmtId="168" fontId="15" fillId="0" borderId="0" xfId="0" applyNumberFormat="1" applyFont="1" applyAlignment="1">
      <alignment/>
    </xf>
    <xf numFmtId="168" fontId="16" fillId="5" borderId="0" xfId="0" applyNumberFormat="1" applyFont="1" applyFill="1" applyAlignment="1">
      <alignment/>
    </xf>
    <xf numFmtId="168" fontId="16" fillId="6" borderId="4" xfId="0" applyNumberFormat="1" applyFont="1" applyFill="1" applyBorder="1" applyAlignment="1">
      <alignment/>
    </xf>
    <xf numFmtId="167" fontId="6" fillId="0" borderId="4" xfId="0" applyNumberFormat="1" applyFont="1" applyBorder="1" applyAlignment="1">
      <alignment horizontal="justify"/>
    </xf>
    <xf numFmtId="164" fontId="5" fillId="0" borderId="0" xfId="0" applyFont="1" applyAlignment="1">
      <alignment horizontal="center"/>
    </xf>
    <xf numFmtId="164" fontId="5" fillId="7" borderId="0" xfId="0" applyFont="1" applyFill="1" applyAlignment="1">
      <alignment horizontal="justify"/>
    </xf>
    <xf numFmtId="168" fontId="1" fillId="5" borderId="22" xfId="0" applyNumberFormat="1" applyFont="1" applyFill="1" applyBorder="1" applyAlignment="1">
      <alignment/>
    </xf>
    <xf numFmtId="166" fontId="15" fillId="0" borderId="7" xfId="0" applyNumberFormat="1" applyFont="1" applyBorder="1" applyAlignment="1">
      <alignment horizontal="center"/>
    </xf>
    <xf numFmtId="164" fontId="12" fillId="12" borderId="36" xfId="0" applyFont="1" applyFill="1" applyBorder="1" applyAlignment="1">
      <alignment horizontal="left" indent="3"/>
    </xf>
    <xf numFmtId="164" fontId="14" fillId="12" borderId="37" xfId="0" applyFont="1" applyFill="1" applyBorder="1" applyAlignment="1">
      <alignment/>
    </xf>
    <xf numFmtId="168" fontId="15" fillId="5" borderId="38" xfId="0" applyNumberFormat="1" applyFont="1" applyFill="1" applyBorder="1" applyAlignment="1">
      <alignment/>
    </xf>
    <xf numFmtId="164" fontId="5" fillId="0" borderId="0" xfId="0" applyFont="1" applyAlignment="1">
      <alignment horizontal="justify"/>
    </xf>
    <xf numFmtId="164" fontId="14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13" fillId="13" borderId="1" xfId="0" applyFont="1" applyFill="1" applyBorder="1" applyAlignment="1">
      <alignment/>
    </xf>
    <xf numFmtId="164" fontId="14" fillId="13" borderId="2" xfId="0" applyFont="1" applyFill="1" applyBorder="1" applyAlignment="1">
      <alignment/>
    </xf>
    <xf numFmtId="164" fontId="17" fillId="13" borderId="3" xfId="0" applyFont="1" applyFill="1" applyBorder="1" applyAlignment="1">
      <alignment/>
    </xf>
    <xf numFmtId="164" fontId="11" fillId="8" borderId="39" xfId="0" applyFont="1" applyFill="1" applyBorder="1" applyAlignment="1">
      <alignment horizontal="center"/>
    </xf>
    <xf numFmtId="164" fontId="13" fillId="8" borderId="39" xfId="0" applyFont="1" applyFill="1" applyBorder="1" applyAlignment="1">
      <alignment horizontal="center"/>
    </xf>
    <xf numFmtId="164" fontId="11" fillId="8" borderId="40" xfId="0" applyFont="1" applyFill="1" applyBorder="1" applyAlignment="1">
      <alignment horizontal="center"/>
    </xf>
    <xf numFmtId="164" fontId="13" fillId="8" borderId="40" xfId="0" applyFont="1" applyFill="1" applyBorder="1" applyAlignment="1">
      <alignment horizontal="center"/>
    </xf>
    <xf numFmtId="164" fontId="13" fillId="0" borderId="41" xfId="0" applyFont="1" applyBorder="1" applyAlignment="1">
      <alignment horizontal="left" indent="1"/>
    </xf>
    <xf numFmtId="164" fontId="12" fillId="7" borderId="34" xfId="0" applyFont="1" applyFill="1" applyBorder="1" applyAlignment="1">
      <alignment/>
    </xf>
    <xf numFmtId="164" fontId="13" fillId="0" borderId="42" xfId="0" applyFont="1" applyBorder="1" applyAlignment="1">
      <alignment horizontal="left" indent="1"/>
    </xf>
    <xf numFmtId="164" fontId="12" fillId="9" borderId="43" xfId="0" applyFont="1" applyFill="1" applyBorder="1" applyAlignment="1">
      <alignment/>
    </xf>
    <xf numFmtId="164" fontId="12" fillId="10" borderId="43" xfId="0" applyFont="1" applyFill="1" applyBorder="1" applyAlignment="1">
      <alignment/>
    </xf>
    <xf numFmtId="164" fontId="12" fillId="2" borderId="43" xfId="0" applyFont="1" applyFill="1" applyBorder="1" applyAlignment="1">
      <alignment/>
    </xf>
    <xf numFmtId="164" fontId="18" fillId="6" borderId="1" xfId="0" applyFont="1" applyFill="1" applyBorder="1" applyAlignment="1">
      <alignment horizontal="left" indent="1"/>
    </xf>
    <xf numFmtId="164" fontId="14" fillId="6" borderId="2" xfId="0" applyFont="1" applyFill="1" applyBorder="1" applyAlignment="1">
      <alignment/>
    </xf>
    <xf numFmtId="168" fontId="18" fillId="6" borderId="3" xfId="0" applyNumberFormat="1" applyFont="1" applyFill="1" applyBorder="1" applyAlignment="1">
      <alignment/>
    </xf>
    <xf numFmtId="164" fontId="14" fillId="0" borderId="44" xfId="0" applyFont="1" applyFill="1" applyBorder="1" applyAlignment="1">
      <alignment/>
    </xf>
    <xf numFmtId="164" fontId="14" fillId="0" borderId="0" xfId="0" applyFont="1" applyFill="1" applyBorder="1" applyAlignment="1">
      <alignment/>
    </xf>
    <xf numFmtId="164" fontId="13" fillId="0" borderId="45" xfId="0" applyFont="1" applyFill="1" applyBorder="1" applyAlignment="1">
      <alignment/>
    </xf>
    <xf numFmtId="164" fontId="13" fillId="12" borderId="1" xfId="0" applyFont="1" applyFill="1" applyBorder="1" applyAlignment="1">
      <alignment horizontal="left" indent="1"/>
    </xf>
    <xf numFmtId="164" fontId="14" fillId="12" borderId="2" xfId="0" applyFont="1" applyFill="1" applyBorder="1" applyAlignment="1">
      <alignment/>
    </xf>
    <xf numFmtId="164" fontId="13" fillId="12" borderId="3" xfId="0" applyFont="1" applyFill="1" applyBorder="1" applyAlignment="1">
      <alignment/>
    </xf>
    <xf numFmtId="164" fontId="19" fillId="8" borderId="39" xfId="0" applyFont="1" applyFill="1" applyBorder="1" applyAlignment="1">
      <alignment horizontal="center"/>
    </xf>
    <xf numFmtId="164" fontId="19" fillId="8" borderId="40" xfId="0" applyFont="1" applyFill="1" applyBorder="1" applyAlignment="1">
      <alignment horizontal="center"/>
    </xf>
    <xf numFmtId="164" fontId="11" fillId="0" borderId="41" xfId="0" applyFont="1" applyBorder="1" applyAlignment="1">
      <alignment horizontal="left" indent="1"/>
    </xf>
    <xf numFmtId="164" fontId="11" fillId="7" borderId="34" xfId="0" applyFont="1" applyFill="1" applyBorder="1" applyAlignment="1">
      <alignment/>
    </xf>
    <xf numFmtId="164" fontId="18" fillId="6" borderId="30" xfId="0" applyFont="1" applyFill="1" applyBorder="1" applyAlignment="1">
      <alignment horizontal="left" indent="1"/>
    </xf>
    <xf numFmtId="164" fontId="14" fillId="6" borderId="14" xfId="0" applyFont="1" applyFill="1" applyBorder="1" applyAlignment="1">
      <alignment/>
    </xf>
    <xf numFmtId="168" fontId="18" fillId="6" borderId="46" xfId="0" applyNumberFormat="1" applyFont="1" applyFill="1" applyBorder="1" applyAlignment="1">
      <alignment/>
    </xf>
    <xf numFmtId="164" fontId="18" fillId="0" borderId="0" xfId="0" applyFont="1" applyFill="1" applyBorder="1" applyAlignment="1">
      <alignment/>
    </xf>
    <xf numFmtId="164" fontId="11" fillId="8" borderId="9" xfId="0" applyFont="1" applyFill="1" applyBorder="1" applyAlignment="1">
      <alignment horizontal="justify"/>
    </xf>
    <xf numFmtId="164" fontId="11" fillId="8" borderId="47" xfId="0" applyFont="1" applyFill="1" applyBorder="1" applyAlignment="1">
      <alignment horizontal="justify"/>
    </xf>
    <xf numFmtId="164" fontId="18" fillId="0" borderId="30" xfId="0" applyFont="1" applyFill="1" applyBorder="1" applyAlignment="1">
      <alignment/>
    </xf>
    <xf numFmtId="168" fontId="1" fillId="5" borderId="14" xfId="0" applyNumberFormat="1" applyFont="1" applyFill="1" applyBorder="1" applyAlignment="1">
      <alignment/>
    </xf>
    <xf numFmtId="168" fontId="18" fillId="6" borderId="14" xfId="0" applyNumberFormat="1" applyFont="1" applyFill="1" applyBorder="1" applyAlignment="1">
      <alignment/>
    </xf>
    <xf numFmtId="164" fontId="14" fillId="0" borderId="0" xfId="0" applyFont="1" applyAlignment="1">
      <alignment/>
    </xf>
    <xf numFmtId="164" fontId="13" fillId="5" borderId="0" xfId="0" applyFont="1" applyFill="1" applyBorder="1" applyAlignment="1">
      <alignment horizontal="center"/>
    </xf>
    <xf numFmtId="164" fontId="18" fillId="5" borderId="0" xfId="0" applyFont="1" applyFill="1" applyBorder="1" applyAlignment="1">
      <alignment horizontal="center"/>
    </xf>
    <xf numFmtId="164" fontId="20" fillId="12" borderId="48" xfId="0" applyFont="1" applyFill="1" applyBorder="1" applyAlignment="1">
      <alignment horizontal="center"/>
    </xf>
    <xf numFmtId="164" fontId="21" fillId="0" borderId="0" xfId="0" applyFont="1" applyBorder="1" applyAlignment="1">
      <alignment/>
    </xf>
    <xf numFmtId="164" fontId="13" fillId="2" borderId="4" xfId="0" applyFont="1" applyFill="1" applyBorder="1" applyAlignment="1">
      <alignment horizontal="center"/>
    </xf>
    <xf numFmtId="168" fontId="1" fillId="14" borderId="4" xfId="0" applyNumberFormat="1" applyFont="1" applyFill="1" applyBorder="1" applyAlignment="1">
      <alignment/>
    </xf>
    <xf numFmtId="168" fontId="22" fillId="14" borderId="4" xfId="0" applyNumberFormat="1" applyFont="1" applyFill="1" applyBorder="1" applyAlignment="1">
      <alignment/>
    </xf>
    <xf numFmtId="166" fontId="22" fillId="14" borderId="4" xfId="0" applyNumberFormat="1" applyFont="1" applyFill="1" applyBorder="1" applyAlignment="1">
      <alignment/>
    </xf>
    <xf numFmtId="166" fontId="22" fillId="14" borderId="4" xfId="0" applyNumberFormat="1" applyFont="1" applyFill="1" applyBorder="1" applyAlignment="1">
      <alignment horizontal="right"/>
    </xf>
    <xf numFmtId="164" fontId="13" fillId="5" borderId="7" xfId="0" applyFont="1" applyFill="1" applyBorder="1" applyAlignment="1">
      <alignment horizontal="left" indent="1"/>
    </xf>
    <xf numFmtId="168" fontId="1" fillId="5" borderId="4" xfId="0" applyNumberFormat="1" applyFont="1" applyFill="1" applyBorder="1" applyAlignment="1">
      <alignment/>
    </xf>
    <xf numFmtId="166" fontId="22" fillId="5" borderId="4" xfId="0" applyNumberFormat="1" applyFont="1" applyFill="1" applyBorder="1" applyAlignment="1">
      <alignment horizontal="right"/>
    </xf>
    <xf numFmtId="164" fontId="13" fillId="0" borderId="0" xfId="0" applyFont="1" applyFill="1" applyBorder="1" applyAlignment="1">
      <alignment horizontal="left" indent="1"/>
    </xf>
    <xf numFmtId="168" fontId="1" fillId="0" borderId="0" xfId="0" applyNumberFormat="1" applyFont="1" applyFill="1" applyBorder="1" applyAlignment="1">
      <alignment/>
    </xf>
    <xf numFmtId="166" fontId="22" fillId="0" borderId="0" xfId="0" applyNumberFormat="1" applyFont="1" applyFill="1" applyBorder="1" applyAlignment="1">
      <alignment horizontal="right"/>
    </xf>
    <xf numFmtId="168" fontId="1" fillId="15" borderId="0" xfId="0" applyNumberFormat="1" applyFont="1" applyFill="1" applyBorder="1" applyAlignment="1">
      <alignment/>
    </xf>
    <xf numFmtId="164" fontId="21" fillId="16" borderId="0" xfId="0" applyFont="1" applyFill="1" applyBorder="1" applyAlignment="1">
      <alignment/>
    </xf>
    <xf numFmtId="164" fontId="13" fillId="15" borderId="41" xfId="0" applyFont="1" applyFill="1" applyBorder="1" applyAlignment="1">
      <alignment horizontal="left" indent="1"/>
    </xf>
    <xf numFmtId="168" fontId="1" fillId="15" borderId="4" xfId="0" applyNumberFormat="1" applyFont="1" applyFill="1" applyBorder="1" applyAlignment="1">
      <alignment/>
    </xf>
    <xf numFmtId="166" fontId="22" fillId="15" borderId="4" xfId="0" applyNumberFormat="1" applyFont="1" applyFill="1" applyBorder="1" applyAlignment="1">
      <alignment/>
    </xf>
    <xf numFmtId="164" fontId="20" fillId="0" borderId="0" xfId="0" applyFont="1" applyBorder="1" applyAlignment="1">
      <alignment/>
    </xf>
    <xf numFmtId="164" fontId="14" fillId="0" borderId="0" xfId="0" applyFont="1" applyAlignment="1">
      <alignment horizontal="left" indent="1"/>
    </xf>
    <xf numFmtId="164" fontId="23" fillId="0" borderId="27" xfId="0" applyFont="1" applyBorder="1" applyAlignment="1">
      <alignment horizontal="left" indent="1"/>
    </xf>
    <xf numFmtId="164" fontId="24" fillId="0" borderId="9" xfId="0" applyFont="1" applyBorder="1" applyAlignment="1">
      <alignment/>
    </xf>
    <xf numFmtId="164" fontId="14" fillId="0" borderId="9" xfId="0" applyFont="1" applyBorder="1" applyAlignment="1">
      <alignment/>
    </xf>
    <xf numFmtId="164" fontId="14" fillId="0" borderId="47" xfId="0" applyFont="1" applyBorder="1" applyAlignment="1">
      <alignment/>
    </xf>
    <xf numFmtId="164" fontId="14" fillId="7" borderId="44" xfId="0" applyFont="1" applyFill="1" applyBorder="1" applyAlignment="1">
      <alignment horizontal="left" indent="1"/>
    </xf>
    <xf numFmtId="164" fontId="14" fillId="7" borderId="0" xfId="0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166" fontId="22" fillId="7" borderId="0" xfId="0" applyNumberFormat="1" applyFont="1" applyFill="1" applyBorder="1" applyAlignment="1">
      <alignment/>
    </xf>
    <xf numFmtId="164" fontId="25" fillId="0" borderId="45" xfId="0" applyFont="1" applyBorder="1" applyAlignment="1">
      <alignment/>
    </xf>
    <xf numFmtId="164" fontId="14" fillId="4" borderId="44" xfId="0" applyFont="1" applyFill="1" applyBorder="1" applyAlignment="1">
      <alignment horizontal="left" indent="1"/>
    </xf>
    <xf numFmtId="164" fontId="3" fillId="4" borderId="0" xfId="0" applyFont="1" applyFill="1" applyBorder="1" applyAlignment="1">
      <alignment/>
    </xf>
    <xf numFmtId="166" fontId="22" fillId="4" borderId="0" xfId="0" applyNumberFormat="1" applyFont="1" applyFill="1" applyBorder="1" applyAlignment="1">
      <alignment/>
    </xf>
    <xf numFmtId="164" fontId="14" fillId="4" borderId="30" xfId="0" applyFont="1" applyFill="1" applyBorder="1" applyAlignment="1">
      <alignment horizontal="left" indent="1"/>
    </xf>
    <xf numFmtId="164" fontId="3" fillId="4" borderId="14" xfId="0" applyFont="1" applyFill="1" applyBorder="1" applyAlignment="1">
      <alignment/>
    </xf>
    <xf numFmtId="164" fontId="25" fillId="0" borderId="14" xfId="0" applyFont="1" applyBorder="1" applyAlignment="1">
      <alignment/>
    </xf>
    <xf numFmtId="166" fontId="22" fillId="4" borderId="14" xfId="0" applyNumberFormat="1" applyFont="1" applyFill="1" applyBorder="1" applyAlignment="1">
      <alignment/>
    </xf>
    <xf numFmtId="164" fontId="25" fillId="0" borderId="46" xfId="0" applyFont="1" applyBorder="1" applyAlignment="1">
      <alignment/>
    </xf>
    <xf numFmtId="164" fontId="14" fillId="0" borderId="27" xfId="0" applyFont="1" applyBorder="1" applyAlignment="1">
      <alignment horizontal="left" indent="1"/>
    </xf>
    <xf numFmtId="164" fontId="25" fillId="0" borderId="9" xfId="0" applyFont="1" applyBorder="1" applyAlignment="1">
      <alignment/>
    </xf>
    <xf numFmtId="164" fontId="25" fillId="0" borderId="47" xfId="0" applyFont="1" applyBorder="1" applyAlignment="1">
      <alignment/>
    </xf>
    <xf numFmtId="164" fontId="14" fillId="0" borderId="30" xfId="0" applyFont="1" applyBorder="1" applyAlignment="1">
      <alignment horizontal="left" indent="1"/>
    </xf>
    <xf numFmtId="164" fontId="13" fillId="0" borderId="46" xfId="0" applyFont="1" applyBorder="1" applyAlignment="1">
      <alignment/>
    </xf>
    <xf numFmtId="164" fontId="26" fillId="0" borderId="0" xfId="0" applyFont="1" applyAlignment="1">
      <alignment/>
    </xf>
    <xf numFmtId="164" fontId="20" fillId="0" borderId="0" xfId="0" applyFont="1" applyAlignment="1">
      <alignment/>
    </xf>
    <xf numFmtId="166" fontId="5" fillId="17" borderId="7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4FFC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Y66"/>
  <sheetViews>
    <sheetView zoomScale="65" zoomScaleNormal="65" workbookViewId="0" topLeftCell="L19">
      <selection activeCell="L1" sqref="L1"/>
    </sheetView>
  </sheetViews>
  <sheetFormatPr defaultColWidth="9.140625" defaultRowHeight="12.75"/>
  <cols>
    <col min="1" max="2" width="39.28125" style="0" customWidth="1"/>
    <col min="3" max="3" width="21.140625" style="0" customWidth="1"/>
    <col min="4" max="4" width="23.140625" style="0" customWidth="1"/>
    <col min="5" max="5" width="25.140625" style="0" customWidth="1"/>
    <col min="6" max="6" width="36.00390625" style="0" customWidth="1"/>
    <col min="12" max="12" width="29.421875" style="0" customWidth="1"/>
    <col min="13" max="13" width="0" style="0" hidden="1" customWidth="1"/>
    <col min="14" max="14" width="16.140625" style="1" customWidth="1"/>
    <col min="15" max="15" width="18.8515625" style="0" customWidth="1"/>
    <col min="16" max="16" width="22.28125" style="0" customWidth="1"/>
    <col min="17" max="17" width="22.7109375" style="0" customWidth="1"/>
    <col min="18" max="19" width="23.28125" style="0" customWidth="1"/>
    <col min="20" max="20" width="23.140625" style="0" customWidth="1"/>
    <col min="21" max="21" width="23.421875" style="0" customWidth="1"/>
    <col min="22" max="22" width="31.28125" style="0" customWidth="1"/>
    <col min="23" max="23" width="23.57421875" style="0" customWidth="1"/>
  </cols>
  <sheetData>
    <row r="1" spans="2:25" ht="12.75">
      <c r="B1" s="2" t="s">
        <v>0</v>
      </c>
      <c r="C1" s="3"/>
      <c r="D1" s="4"/>
      <c r="E1" s="4"/>
      <c r="F1" s="5"/>
      <c r="G1" s="6"/>
      <c r="H1" s="7"/>
      <c r="I1" s="7"/>
      <c r="J1" s="7"/>
      <c r="K1" s="7"/>
      <c r="L1" s="8" t="s">
        <v>1</v>
      </c>
      <c r="M1" s="9" t="s">
        <v>2</v>
      </c>
      <c r="N1" s="10" t="s">
        <v>3</v>
      </c>
      <c r="O1" s="10" t="s">
        <v>4</v>
      </c>
      <c r="P1" s="10" t="s">
        <v>5</v>
      </c>
      <c r="Q1" s="10" t="s">
        <v>6</v>
      </c>
      <c r="R1" s="10" t="s">
        <v>7</v>
      </c>
      <c r="S1" s="10" t="s">
        <v>8</v>
      </c>
      <c r="T1" s="10" t="s">
        <v>9</v>
      </c>
      <c r="U1" s="10" t="s">
        <v>10</v>
      </c>
      <c r="V1" s="7"/>
      <c r="W1" s="7"/>
      <c r="X1" s="7"/>
      <c r="Y1" s="7"/>
    </row>
    <row r="2" spans="2:25" ht="12.75">
      <c r="B2" s="11"/>
      <c r="C2" s="11"/>
      <c r="D2" s="11"/>
      <c r="E2" s="11"/>
      <c r="F2" s="11"/>
      <c r="G2" s="6"/>
      <c r="H2" s="7"/>
      <c r="I2" s="7"/>
      <c r="J2" s="7"/>
      <c r="K2" s="7"/>
      <c r="L2" s="12" t="s">
        <v>11</v>
      </c>
      <c r="M2" s="13">
        <v>195</v>
      </c>
      <c r="N2" s="14">
        <f>M2*0.6</f>
        <v>117.00000000000001</v>
      </c>
      <c r="O2" s="15">
        <f>N2*$E$24*0.8*0.9</f>
        <v>10108.800000000001</v>
      </c>
      <c r="P2" s="16">
        <f>$D$48</f>
        <v>4866.666666666667</v>
      </c>
      <c r="Q2" s="17">
        <v>0</v>
      </c>
      <c r="R2" s="17">
        <f>P2+Q2</f>
        <v>4866.666666666667</v>
      </c>
      <c r="S2" s="18">
        <f>O2-P2-Q2</f>
        <v>5242.133333333334</v>
      </c>
      <c r="T2" s="19">
        <f>S2</f>
        <v>5242.133333333334</v>
      </c>
      <c r="U2" s="18">
        <f>R2</f>
        <v>4866.666666666667</v>
      </c>
      <c r="V2" s="7"/>
      <c r="W2" s="7"/>
      <c r="X2" s="7"/>
      <c r="Y2" s="7"/>
    </row>
    <row r="3" spans="2:25" ht="12.75">
      <c r="B3" s="20" t="s">
        <v>12</v>
      </c>
      <c r="C3" s="21" t="s">
        <v>13</v>
      </c>
      <c r="D3" s="22" t="s">
        <v>14</v>
      </c>
      <c r="E3" s="21" t="s">
        <v>15</v>
      </c>
      <c r="F3" s="23" t="s">
        <v>16</v>
      </c>
      <c r="G3" s="6"/>
      <c r="H3" s="7"/>
      <c r="I3" s="7"/>
      <c r="J3" s="7"/>
      <c r="K3" s="7"/>
      <c r="L3" s="24" t="s">
        <v>17</v>
      </c>
      <c r="M3" s="13">
        <v>225</v>
      </c>
      <c r="N3" s="14">
        <f>M3*0.6</f>
        <v>135.00000000000003</v>
      </c>
      <c r="O3" s="15">
        <f>N3*$E$24*0.8*0.9</f>
        <v>11664.000000000004</v>
      </c>
      <c r="P3" s="16">
        <f>$D$48</f>
        <v>4866.666666666667</v>
      </c>
      <c r="Q3" s="17">
        <v>0</v>
      </c>
      <c r="R3" s="17">
        <f>P3+Q3</f>
        <v>4866.666666666667</v>
      </c>
      <c r="S3" s="18">
        <f>O3-P3-Q3</f>
        <v>6797.333333333337</v>
      </c>
      <c r="T3" s="19">
        <f>S3+T2</f>
        <v>12039.46666666667</v>
      </c>
      <c r="U3" s="18">
        <f>R3</f>
        <v>4866.666666666667</v>
      </c>
      <c r="V3" s="7"/>
      <c r="W3" s="7"/>
      <c r="X3" s="7"/>
      <c r="Y3" s="7"/>
    </row>
    <row r="4" spans="2:25" ht="12.75">
      <c r="B4" s="25"/>
      <c r="C4" s="26" t="s">
        <v>18</v>
      </c>
      <c r="D4" s="27" t="s">
        <v>19</v>
      </c>
      <c r="E4" s="26" t="s">
        <v>20</v>
      </c>
      <c r="F4" s="28" t="s">
        <v>21</v>
      </c>
      <c r="G4" s="6"/>
      <c r="H4" s="7"/>
      <c r="I4" s="7"/>
      <c r="J4" s="7"/>
      <c r="K4" s="7"/>
      <c r="L4" s="12" t="s">
        <v>22</v>
      </c>
      <c r="M4" s="13">
        <v>135</v>
      </c>
      <c r="N4" s="14">
        <f>M4*0.6</f>
        <v>81.00000000000001</v>
      </c>
      <c r="O4" s="15">
        <f>N4*$E$24*0.8*0.9</f>
        <v>6998.4000000000015</v>
      </c>
      <c r="P4" s="16">
        <f>$D$48</f>
        <v>4866.666666666667</v>
      </c>
      <c r="Q4" s="17">
        <v>0</v>
      </c>
      <c r="R4" s="17">
        <f>P4+Q4</f>
        <v>4866.666666666667</v>
      </c>
      <c r="S4" s="18">
        <f>O4-P4-Q4</f>
        <v>2131.7333333333345</v>
      </c>
      <c r="T4" s="19">
        <f>S4+T3</f>
        <v>14171.200000000004</v>
      </c>
      <c r="U4" s="18">
        <f>R4</f>
        <v>4866.666666666667</v>
      </c>
      <c r="V4" s="7"/>
      <c r="W4" s="7"/>
      <c r="X4" s="7"/>
      <c r="Y4" s="7"/>
    </row>
    <row r="5" spans="2:25" ht="12.75">
      <c r="B5" s="29" t="s">
        <v>23</v>
      </c>
      <c r="C5" s="30">
        <v>24</v>
      </c>
      <c r="D5" s="31">
        <v>4</v>
      </c>
      <c r="E5" s="32">
        <v>365</v>
      </c>
      <c r="F5" s="33">
        <f>C5*D5*E5</f>
        <v>35040</v>
      </c>
      <c r="G5" s="6"/>
      <c r="H5" s="7"/>
      <c r="I5" s="7"/>
      <c r="J5" s="7"/>
      <c r="K5" s="7"/>
      <c r="L5" s="24" t="s">
        <v>24</v>
      </c>
      <c r="M5" s="13">
        <v>75</v>
      </c>
      <c r="N5" s="14">
        <f>M5*0.6</f>
        <v>45.00000000000001</v>
      </c>
      <c r="O5" s="15">
        <f>N5*$E$24*0.8*0.9</f>
        <v>3888.000000000001</v>
      </c>
      <c r="P5" s="16">
        <f>$D$48</f>
        <v>4866.666666666667</v>
      </c>
      <c r="Q5" s="16">
        <f>$D$49</f>
        <v>8616.666666666668</v>
      </c>
      <c r="R5" s="17">
        <f>P5+Q5</f>
        <v>13483.333333333336</v>
      </c>
      <c r="S5" s="34">
        <f>O5-P5-Q5</f>
        <v>-9595.333333333334</v>
      </c>
      <c r="T5" s="19">
        <f>T4+S5</f>
        <v>4575.86666666667</v>
      </c>
      <c r="U5" s="35">
        <f>O5</f>
        <v>3888.000000000001</v>
      </c>
      <c r="V5" s="7"/>
      <c r="W5" s="7"/>
      <c r="X5" s="7"/>
      <c r="Y5" s="7"/>
    </row>
    <row r="6" spans="2:25" ht="12.75">
      <c r="B6" s="29" t="s">
        <v>25</v>
      </c>
      <c r="C6" s="30">
        <v>14</v>
      </c>
      <c r="D6" s="31">
        <v>4</v>
      </c>
      <c r="E6" s="36">
        <v>365</v>
      </c>
      <c r="F6" s="33">
        <f>C6*D6*E6</f>
        <v>20440</v>
      </c>
      <c r="G6" s="6"/>
      <c r="H6" s="7"/>
      <c r="I6" s="7"/>
      <c r="J6" s="7"/>
      <c r="K6" s="7"/>
      <c r="L6" s="12" t="s">
        <v>26</v>
      </c>
      <c r="M6" s="13">
        <v>75</v>
      </c>
      <c r="N6" s="14">
        <f>M6*0.6</f>
        <v>45.00000000000001</v>
      </c>
      <c r="O6" s="15">
        <f>N6*$E$24*0.8*0.9</f>
        <v>3888.000000000001</v>
      </c>
      <c r="P6" s="16">
        <f>$D$48</f>
        <v>4866.666666666667</v>
      </c>
      <c r="Q6" s="16">
        <f>$D$49</f>
        <v>8616.666666666668</v>
      </c>
      <c r="R6" s="17">
        <f>P6+Q6</f>
        <v>13483.333333333336</v>
      </c>
      <c r="S6" s="34">
        <f>O6-P6-Q6</f>
        <v>-9595.333333333334</v>
      </c>
      <c r="T6" s="37" t="s">
        <v>27</v>
      </c>
      <c r="U6" s="38">
        <f>O6</f>
        <v>3888.000000000001</v>
      </c>
      <c r="V6" s="7"/>
      <c r="W6" s="7"/>
      <c r="X6" s="7"/>
      <c r="Y6" s="7"/>
    </row>
    <row r="7" spans="2:25" ht="12.75">
      <c r="B7" s="29" t="s">
        <v>28</v>
      </c>
      <c r="C7" s="30">
        <v>2</v>
      </c>
      <c r="D7" s="31">
        <v>4</v>
      </c>
      <c r="E7" s="36">
        <v>365</v>
      </c>
      <c r="F7" s="33">
        <f>C7*D7*E7</f>
        <v>2920</v>
      </c>
      <c r="G7" s="6"/>
      <c r="H7" s="7"/>
      <c r="I7" s="7"/>
      <c r="J7" s="7"/>
      <c r="K7" s="7"/>
      <c r="L7" s="24" t="s">
        <v>29</v>
      </c>
      <c r="M7" s="13">
        <v>60</v>
      </c>
      <c r="N7" s="14">
        <f>M7*0.6</f>
        <v>36.00000000000001</v>
      </c>
      <c r="O7" s="15">
        <f>N7*$E$24*0.8*0.9</f>
        <v>3110.400000000001</v>
      </c>
      <c r="P7" s="16">
        <f>$D$48</f>
        <v>4866.666666666667</v>
      </c>
      <c r="Q7" s="16">
        <f>$D$49</f>
        <v>8616.666666666668</v>
      </c>
      <c r="R7" s="17">
        <f>P7+Q7</f>
        <v>13483.333333333336</v>
      </c>
      <c r="S7" s="34">
        <f>O7-P7-Q7</f>
        <v>-10372.933333333334</v>
      </c>
      <c r="T7" s="37" t="s">
        <v>27</v>
      </c>
      <c r="U7" s="38">
        <f>O7</f>
        <v>3110.400000000001</v>
      </c>
      <c r="V7" s="7"/>
      <c r="W7" s="7"/>
      <c r="X7" s="7"/>
      <c r="Y7" s="7"/>
    </row>
    <row r="8" spans="2:25" ht="12.75">
      <c r="B8" s="39" t="s">
        <v>30</v>
      </c>
      <c r="C8" s="30">
        <v>0</v>
      </c>
      <c r="D8" s="31">
        <v>0</v>
      </c>
      <c r="E8" s="36">
        <v>0</v>
      </c>
      <c r="F8" s="40">
        <f>C8*D8*E8</f>
        <v>0</v>
      </c>
      <c r="G8" s="6"/>
      <c r="H8" s="7"/>
      <c r="I8" s="7"/>
      <c r="J8" s="7"/>
      <c r="K8" s="7"/>
      <c r="L8" s="12" t="s">
        <v>31</v>
      </c>
      <c r="M8" s="13">
        <v>15</v>
      </c>
      <c r="N8" s="14">
        <f>M8*0.6</f>
        <v>9.000000000000002</v>
      </c>
      <c r="O8" s="15">
        <f>N8*$E$24*0.8*0.9</f>
        <v>777.6000000000003</v>
      </c>
      <c r="P8" s="16">
        <f>$D$48</f>
        <v>4866.666666666667</v>
      </c>
      <c r="Q8" s="16">
        <f>$D$49</f>
        <v>8616.666666666668</v>
      </c>
      <c r="R8" s="17">
        <f>P8+Q8</f>
        <v>13483.333333333336</v>
      </c>
      <c r="S8" s="34">
        <f>O8-P8-Q8</f>
        <v>-12705.733333333334</v>
      </c>
      <c r="T8" s="37" t="s">
        <v>27</v>
      </c>
      <c r="U8" s="38">
        <f>O8</f>
        <v>777.6000000000003</v>
      </c>
      <c r="V8" s="7"/>
      <c r="W8" s="7"/>
      <c r="X8" s="7"/>
      <c r="Y8" s="7"/>
    </row>
    <row r="9" spans="2:25" ht="12.75">
      <c r="B9" s="41" t="s">
        <v>32</v>
      </c>
      <c r="C9" s="42"/>
      <c r="D9" s="42"/>
      <c r="E9" s="43"/>
      <c r="F9" s="44">
        <f>F5+F6+F7+F8</f>
        <v>58400</v>
      </c>
      <c r="G9" s="6"/>
      <c r="H9" s="7"/>
      <c r="I9" s="7"/>
      <c r="J9" s="7"/>
      <c r="K9" s="7"/>
      <c r="L9" s="24" t="s">
        <v>33</v>
      </c>
      <c r="M9" s="13">
        <v>45</v>
      </c>
      <c r="N9" s="14">
        <f>M9*0.6</f>
        <v>27.000000000000004</v>
      </c>
      <c r="O9" s="15">
        <f>N9*$E$24*0.8*0.9</f>
        <v>2332.8000000000006</v>
      </c>
      <c r="P9" s="16">
        <f>$D$48</f>
        <v>4866.666666666667</v>
      </c>
      <c r="Q9" s="16">
        <f>$D$49</f>
        <v>8616.666666666668</v>
      </c>
      <c r="R9" s="17">
        <f>P9+Q9</f>
        <v>13483.333333333336</v>
      </c>
      <c r="S9" s="34">
        <f>O9-P9-Q9</f>
        <v>-11150.533333333335</v>
      </c>
      <c r="T9" s="37" t="s">
        <v>27</v>
      </c>
      <c r="U9" s="38">
        <f>O9</f>
        <v>2332.8000000000006</v>
      </c>
      <c r="V9" s="7"/>
      <c r="W9" s="7"/>
      <c r="X9" s="7"/>
      <c r="Y9" s="7"/>
    </row>
    <row r="10" spans="2:25" ht="12.75">
      <c r="B10" s="45"/>
      <c r="C10" s="46"/>
      <c r="D10" s="46"/>
      <c r="E10" s="46"/>
      <c r="F10" s="6"/>
      <c r="G10" s="6"/>
      <c r="H10" s="7"/>
      <c r="I10" s="7"/>
      <c r="J10" s="7"/>
      <c r="K10" s="7"/>
      <c r="L10" s="12" t="s">
        <v>34</v>
      </c>
      <c r="M10" s="13">
        <v>135</v>
      </c>
      <c r="N10" s="14">
        <f>M10*0.6</f>
        <v>81.00000000000001</v>
      </c>
      <c r="O10" s="15">
        <f>N10*$E$24*0.8*0.9</f>
        <v>6998.4000000000015</v>
      </c>
      <c r="P10" s="16">
        <f>$D$48</f>
        <v>4866.666666666667</v>
      </c>
      <c r="Q10" s="16">
        <f>$D$49</f>
        <v>8616.666666666668</v>
      </c>
      <c r="R10" s="17">
        <f>P10+Q10</f>
        <v>13483.333333333336</v>
      </c>
      <c r="S10" s="34">
        <f>O10-P10-Q10</f>
        <v>-6484.933333333333</v>
      </c>
      <c r="T10" s="37" t="s">
        <v>27</v>
      </c>
      <c r="U10" s="47">
        <f>O10</f>
        <v>6998.4000000000015</v>
      </c>
      <c r="V10" s="7"/>
      <c r="W10" s="7"/>
      <c r="X10" s="7"/>
      <c r="Y10" s="7"/>
    </row>
    <row r="11" spans="2:25" ht="12.75">
      <c r="B11" s="48" t="s">
        <v>35</v>
      </c>
      <c r="C11" s="21"/>
      <c r="D11" s="49" t="s">
        <v>36</v>
      </c>
      <c r="E11" s="21" t="s">
        <v>37</v>
      </c>
      <c r="F11" s="50" t="s">
        <v>16</v>
      </c>
      <c r="G11" s="6"/>
      <c r="H11" s="7"/>
      <c r="I11" s="7"/>
      <c r="J11" s="7"/>
      <c r="K11" s="7"/>
      <c r="L11" s="24" t="s">
        <v>38</v>
      </c>
      <c r="M11" s="13">
        <v>180</v>
      </c>
      <c r="N11" s="14">
        <f>M11*0.6</f>
        <v>108.00000000000001</v>
      </c>
      <c r="O11" s="15">
        <f>N11*$E$24*0.8*0.9</f>
        <v>9331.200000000003</v>
      </c>
      <c r="P11" s="16">
        <f>$D$48</f>
        <v>4866.666666666667</v>
      </c>
      <c r="Q11" s="17">
        <v>0</v>
      </c>
      <c r="R11" s="17">
        <f>P11+Q11</f>
        <v>4866.666666666667</v>
      </c>
      <c r="S11" s="18">
        <f>O11-P11-Q11</f>
        <v>4464.533333333336</v>
      </c>
      <c r="T11" s="19" t="s">
        <v>39</v>
      </c>
      <c r="U11" s="18">
        <f>R11</f>
        <v>4866.666666666667</v>
      </c>
      <c r="V11" s="7"/>
      <c r="W11" s="7"/>
      <c r="X11" s="7"/>
      <c r="Y11" s="7"/>
    </row>
    <row r="12" spans="2:25" ht="12.75">
      <c r="B12" s="51"/>
      <c r="C12" s="26"/>
      <c r="D12" s="52" t="s">
        <v>40</v>
      </c>
      <c r="E12" s="26" t="s">
        <v>41</v>
      </c>
      <c r="F12" s="53" t="s">
        <v>42</v>
      </c>
      <c r="G12" s="6"/>
      <c r="H12" s="7"/>
      <c r="I12" s="7"/>
      <c r="J12" s="7"/>
      <c r="K12" s="7"/>
      <c r="L12" s="12" t="s">
        <v>43</v>
      </c>
      <c r="M12" s="13">
        <v>150</v>
      </c>
      <c r="N12" s="14">
        <f>M12*0.6</f>
        <v>90.00000000000001</v>
      </c>
      <c r="O12" s="15">
        <f>N12*$E$24*0.8*0.9</f>
        <v>7776.000000000002</v>
      </c>
      <c r="P12" s="16">
        <f>$D$48</f>
        <v>4866.666666666667</v>
      </c>
      <c r="Q12" s="17">
        <v>0</v>
      </c>
      <c r="R12" s="17">
        <f>P12+Q12</f>
        <v>4866.666666666667</v>
      </c>
      <c r="S12" s="18">
        <f>O12-P12-Q12</f>
        <v>2909.333333333335</v>
      </c>
      <c r="T12" s="19">
        <f>S12+T11</f>
        <v>2909.333333333335</v>
      </c>
      <c r="U12" s="18">
        <f>R12</f>
        <v>4866.666666666667</v>
      </c>
      <c r="V12" s="7"/>
      <c r="W12" s="7"/>
      <c r="X12" s="7"/>
      <c r="Y12" s="7"/>
    </row>
    <row r="13" spans="2:25" ht="12.75">
      <c r="B13" s="54" t="s">
        <v>44</v>
      </c>
      <c r="C13" s="55"/>
      <c r="D13" s="31">
        <v>60</v>
      </c>
      <c r="E13" s="36"/>
      <c r="F13" s="56">
        <f>D13*E13</f>
        <v>0</v>
      </c>
      <c r="G13" s="6"/>
      <c r="H13" s="7"/>
      <c r="I13" s="7"/>
      <c r="J13" s="7"/>
      <c r="K13" s="7"/>
      <c r="L13" s="57" t="s">
        <v>45</v>
      </c>
      <c r="M13" s="58">
        <v>210</v>
      </c>
      <c r="N13" s="14">
        <f>M13*0.6</f>
        <v>126.00000000000001</v>
      </c>
      <c r="O13" s="15">
        <f>N13*$E$24*0.8*0.9</f>
        <v>10886.400000000001</v>
      </c>
      <c r="P13" s="16">
        <f>$D$48</f>
        <v>4866.666666666667</v>
      </c>
      <c r="Q13" s="17">
        <v>0</v>
      </c>
      <c r="R13" s="17">
        <f>P13+Q13</f>
        <v>4866.666666666667</v>
      </c>
      <c r="S13" s="18">
        <f>O13-P13-Q13</f>
        <v>6019.7333333333345</v>
      </c>
      <c r="T13" s="19">
        <f>S13+T12</f>
        <v>8929.06666666667</v>
      </c>
      <c r="U13" s="18">
        <f>R13</f>
        <v>4866.666666666667</v>
      </c>
      <c r="V13" s="7"/>
      <c r="W13" s="7"/>
      <c r="X13" s="7"/>
      <c r="Y13" s="7"/>
    </row>
    <row r="14" spans="2:25" ht="12.75">
      <c r="B14" s="54" t="s">
        <v>46</v>
      </c>
      <c r="C14" s="55"/>
      <c r="D14" s="31">
        <v>300</v>
      </c>
      <c r="E14" s="36"/>
      <c r="F14" s="56">
        <f>D14*E14</f>
        <v>0</v>
      </c>
      <c r="G14" s="6"/>
      <c r="H14" s="7"/>
      <c r="I14" s="7"/>
      <c r="J14" s="7"/>
      <c r="K14" s="7"/>
      <c r="L14" s="7"/>
      <c r="M14" s="7"/>
      <c r="N14" s="59">
        <f>SUM(N2:N13)</f>
        <v>900.0000000000001</v>
      </c>
      <c r="O14" s="60">
        <f>SUM(O2:O13)</f>
        <v>77760.00000000001</v>
      </c>
      <c r="P14" s="61">
        <f>SUM(P2:P13)</f>
        <v>58399.99999999999</v>
      </c>
      <c r="Q14" s="61">
        <f>SUM(Q2:Q13)</f>
        <v>51700.000000000015</v>
      </c>
      <c r="R14" s="62">
        <f>SUM(R2:R13)</f>
        <v>110100.00000000003</v>
      </c>
      <c r="S14" s="61">
        <f>S2+S3+S4+S11+S12+S13</f>
        <v>27564.80000000001</v>
      </c>
      <c r="T14" s="7"/>
      <c r="U14" s="63">
        <f>SUM(U2:U13)</f>
        <v>50195.2</v>
      </c>
      <c r="V14" s="7"/>
      <c r="W14" s="7"/>
      <c r="X14" s="7"/>
      <c r="Y14" s="7"/>
    </row>
    <row r="15" spans="2:25" ht="12.75">
      <c r="B15" s="54" t="s">
        <v>47</v>
      </c>
      <c r="C15" s="55"/>
      <c r="D15" s="31">
        <v>450</v>
      </c>
      <c r="E15" s="36">
        <v>50</v>
      </c>
      <c r="F15" s="56">
        <f>D15*E15</f>
        <v>22500</v>
      </c>
      <c r="G15" s="6"/>
      <c r="H15" s="7"/>
      <c r="I15" s="7"/>
      <c r="J15" s="7"/>
      <c r="K15" s="7"/>
      <c r="L15" s="7"/>
      <c r="M15" s="7"/>
      <c r="N15" s="59"/>
      <c r="O15" s="7"/>
      <c r="P15" s="7"/>
      <c r="Q15" s="7"/>
      <c r="R15" s="7"/>
      <c r="S15" s="64" t="s">
        <v>48</v>
      </c>
      <c r="T15" s="7"/>
      <c r="U15" s="7"/>
      <c r="V15" s="7"/>
      <c r="W15" s="7"/>
      <c r="X15" s="7"/>
      <c r="Y15" s="7"/>
    </row>
    <row r="16" spans="2:25" ht="12.75">
      <c r="B16" s="54" t="s">
        <v>49</v>
      </c>
      <c r="C16" s="55"/>
      <c r="D16" s="31">
        <v>250</v>
      </c>
      <c r="E16" s="36"/>
      <c r="F16" s="56">
        <f>D16*E16</f>
        <v>0</v>
      </c>
      <c r="G16" s="6"/>
      <c r="H16" s="7"/>
      <c r="I16" s="7"/>
      <c r="J16" s="7"/>
      <c r="K16" s="7"/>
      <c r="L16" s="7"/>
      <c r="M16" s="7"/>
      <c r="N16" s="59"/>
      <c r="O16" s="7"/>
      <c r="P16" s="7"/>
      <c r="Q16" s="7"/>
      <c r="R16" s="7"/>
      <c r="S16" s="64" t="s">
        <v>50</v>
      </c>
      <c r="T16" s="7"/>
      <c r="U16" s="7"/>
      <c r="V16" s="7"/>
      <c r="W16" s="7"/>
      <c r="X16" s="7"/>
      <c r="Y16" s="7"/>
    </row>
    <row r="17" spans="2:25" ht="12.75">
      <c r="B17" s="54" t="s">
        <v>30</v>
      </c>
      <c r="C17" s="55"/>
      <c r="D17" s="31"/>
      <c r="E17" s="36"/>
      <c r="F17" s="56">
        <f>D17*E17</f>
        <v>0</v>
      </c>
      <c r="G17" s="6"/>
      <c r="H17" s="7"/>
      <c r="I17" s="7"/>
      <c r="J17" s="7"/>
      <c r="K17" s="7"/>
      <c r="L17" s="7"/>
      <c r="M17" s="7"/>
      <c r="N17" s="59"/>
      <c r="O17" s="65"/>
      <c r="P17" s="7"/>
      <c r="Q17" s="7"/>
      <c r="R17" s="7"/>
      <c r="S17" s="7"/>
      <c r="T17" s="7"/>
      <c r="U17" s="7"/>
      <c r="V17" s="66" t="s">
        <v>51</v>
      </c>
      <c r="W17" s="7"/>
      <c r="X17" s="7"/>
      <c r="Y17" s="7"/>
    </row>
    <row r="18" spans="2:25" ht="12.75">
      <c r="B18" s="41" t="s">
        <v>52</v>
      </c>
      <c r="C18" s="41"/>
      <c r="D18" s="41"/>
      <c r="E18" s="41"/>
      <c r="F18" s="67">
        <f>F13+F14+F15+F16+F17</f>
        <v>22500</v>
      </c>
      <c r="G18" s="6"/>
      <c r="H18" s="7"/>
      <c r="I18" s="7"/>
      <c r="J18" s="7"/>
      <c r="K18" s="7"/>
      <c r="L18" s="7"/>
      <c r="M18" s="7"/>
      <c r="N18" s="59"/>
      <c r="O18" s="7"/>
      <c r="P18" s="7"/>
      <c r="Q18" s="7"/>
      <c r="R18" s="7"/>
      <c r="S18" s="7"/>
      <c r="T18" s="7"/>
      <c r="U18" s="7"/>
      <c r="V18" s="68">
        <v>10337</v>
      </c>
      <c r="W18" s="7"/>
      <c r="X18" s="7"/>
      <c r="Y18" s="7"/>
    </row>
    <row r="19" spans="2:25" ht="83.25" customHeight="1">
      <c r="B19" s="69" t="s">
        <v>53</v>
      </c>
      <c r="C19" s="70"/>
      <c r="D19" s="70"/>
      <c r="E19" s="70"/>
      <c r="F19" s="71">
        <f>F18+F9</f>
        <v>80900</v>
      </c>
      <c r="G19" s="6"/>
      <c r="H19" s="7"/>
      <c r="I19" s="7"/>
      <c r="J19" s="7"/>
      <c r="K19" s="7"/>
      <c r="L19" s="8" t="s">
        <v>1</v>
      </c>
      <c r="M19" s="9" t="s">
        <v>2</v>
      </c>
      <c r="N19" s="10" t="s">
        <v>3</v>
      </c>
      <c r="O19" s="10" t="s">
        <v>4</v>
      </c>
      <c r="P19" s="10" t="s">
        <v>5</v>
      </c>
      <c r="Q19" s="10" t="s">
        <v>6</v>
      </c>
      <c r="R19" s="10" t="s">
        <v>7</v>
      </c>
      <c r="S19" s="10" t="s">
        <v>8</v>
      </c>
      <c r="T19" s="10" t="s">
        <v>54</v>
      </c>
      <c r="U19" s="10" t="s">
        <v>55</v>
      </c>
      <c r="W19" s="72"/>
      <c r="X19" s="7"/>
      <c r="Y19" s="7"/>
    </row>
    <row r="20" spans="2:25" ht="12.75">
      <c r="B20" s="73"/>
      <c r="C20" s="73"/>
      <c r="D20" s="73"/>
      <c r="E20" s="73"/>
      <c r="F20" s="74"/>
      <c r="G20" s="6"/>
      <c r="H20" s="7"/>
      <c r="I20" s="7"/>
      <c r="J20" s="7"/>
      <c r="K20" s="7"/>
      <c r="L20" s="12" t="s">
        <v>11</v>
      </c>
      <c r="M20" s="13">
        <v>195</v>
      </c>
      <c r="N20" s="14">
        <f>M20*0.6</f>
        <v>117.00000000000001</v>
      </c>
      <c r="O20" s="15">
        <f>N20*$E$24*0.8*0.9</f>
        <v>10108.800000000001</v>
      </c>
      <c r="P20" s="16">
        <f>$D$48</f>
        <v>4866.666666666667</v>
      </c>
      <c r="Q20" s="17">
        <v>0</v>
      </c>
      <c r="R20" s="16">
        <f>P20+Q20</f>
        <v>4866.666666666667</v>
      </c>
      <c r="S20" s="18">
        <f>O20-P20-Q20</f>
        <v>5242.133333333334</v>
      </c>
      <c r="T20" s="19">
        <f>S20</f>
        <v>5242.133333333334</v>
      </c>
      <c r="U20" s="18">
        <f>IF((T20&lt;VOL),T20,VOL)</f>
        <v>5242.133333333334</v>
      </c>
      <c r="W20" s="59"/>
      <c r="X20" s="7"/>
      <c r="Y20" s="7"/>
    </row>
    <row r="21" spans="2:25" ht="12.75">
      <c r="B21" s="75" t="s">
        <v>56</v>
      </c>
      <c r="C21" s="76"/>
      <c r="D21" s="76"/>
      <c r="E21" s="76"/>
      <c r="F21" s="77"/>
      <c r="G21" s="6"/>
      <c r="H21" s="7"/>
      <c r="I21" s="7"/>
      <c r="J21" s="7"/>
      <c r="K21" s="7"/>
      <c r="L21" s="24" t="s">
        <v>17</v>
      </c>
      <c r="M21" s="13">
        <v>225</v>
      </c>
      <c r="N21" s="14">
        <f>M21*0.6</f>
        <v>135.00000000000003</v>
      </c>
      <c r="O21" s="15">
        <f>N21*$E$24*0.8*0.9</f>
        <v>11664.000000000004</v>
      </c>
      <c r="P21" s="16">
        <f>$D$48</f>
        <v>4866.666666666667</v>
      </c>
      <c r="Q21" s="17">
        <v>0</v>
      </c>
      <c r="R21" s="16">
        <f>P21+Q21</f>
        <v>4866.666666666667</v>
      </c>
      <c r="S21" s="18">
        <f>O21-P21-Q21</f>
        <v>6797.333333333337</v>
      </c>
      <c r="T21" s="19">
        <f>S21+T20</f>
        <v>12039.46666666667</v>
      </c>
      <c r="U21" s="18">
        <f>IF((U20+S21)&gt;VOL,VOL,U20+S21)</f>
        <v>10337</v>
      </c>
      <c r="V21" s="59"/>
      <c r="W21" s="7"/>
      <c r="X21" s="7"/>
      <c r="Y21" s="7"/>
    </row>
    <row r="22" spans="2:25" ht="12.75">
      <c r="B22" s="78" t="s">
        <v>57</v>
      </c>
      <c r="C22" s="79" t="s">
        <v>58</v>
      </c>
      <c r="D22" s="79" t="s">
        <v>59</v>
      </c>
      <c r="E22" s="79" t="s">
        <v>60</v>
      </c>
      <c r="F22" s="78" t="s">
        <v>57</v>
      </c>
      <c r="G22" s="6"/>
      <c r="H22" s="7"/>
      <c r="I22" s="7"/>
      <c r="J22" s="7"/>
      <c r="K22" s="7"/>
      <c r="L22" s="12" t="s">
        <v>22</v>
      </c>
      <c r="M22" s="13">
        <v>135</v>
      </c>
      <c r="N22" s="14">
        <f>M22*0.6</f>
        <v>81.00000000000001</v>
      </c>
      <c r="O22" s="15">
        <f>N22*$E$24*0.8*0.9</f>
        <v>6998.4000000000015</v>
      </c>
      <c r="P22" s="16">
        <f>$D$48</f>
        <v>4866.666666666667</v>
      </c>
      <c r="Q22" s="17">
        <v>0</v>
      </c>
      <c r="R22" s="16">
        <f>P22+Q22</f>
        <v>4866.666666666667</v>
      </c>
      <c r="S22" s="18">
        <f>O22-P22-Q22</f>
        <v>2131.7333333333345</v>
      </c>
      <c r="T22" s="19">
        <f>S22+T21</f>
        <v>14171.200000000004</v>
      </c>
      <c r="U22" s="18">
        <f>IF((U21+S22)&gt;VOL,VOL,U21+S22)</f>
        <v>10337</v>
      </c>
      <c r="V22" s="59"/>
      <c r="W22" s="7"/>
      <c r="X22" s="7"/>
      <c r="Y22" s="7"/>
    </row>
    <row r="23" spans="2:25" ht="12.75">
      <c r="B23" s="80"/>
      <c r="C23" s="81" t="s">
        <v>61</v>
      </c>
      <c r="D23" s="81" t="s">
        <v>62</v>
      </c>
      <c r="E23" s="81" t="s">
        <v>63</v>
      </c>
      <c r="F23" s="80" t="s">
        <v>64</v>
      </c>
      <c r="G23" s="6"/>
      <c r="H23" s="7"/>
      <c r="I23" s="7"/>
      <c r="J23" s="7"/>
      <c r="K23" s="7"/>
      <c r="L23" s="24" t="s">
        <v>24</v>
      </c>
      <c r="M23" s="13">
        <v>75</v>
      </c>
      <c r="N23" s="14">
        <f>M23*0.6</f>
        <v>45.00000000000001</v>
      </c>
      <c r="O23" s="15">
        <f>N23*$E$24*0.8*0.9</f>
        <v>3888.000000000001</v>
      </c>
      <c r="P23" s="16">
        <f>$D$48</f>
        <v>4866.666666666667</v>
      </c>
      <c r="Q23" s="17">
        <v>0</v>
      </c>
      <c r="R23" s="16">
        <f>P23+Q23</f>
        <v>4866.666666666667</v>
      </c>
      <c r="S23" s="16">
        <f>O23-P23-Q23</f>
        <v>-978.6666666666661</v>
      </c>
      <c r="T23" s="19">
        <f>T22+S23</f>
        <v>13192.533333333338</v>
      </c>
      <c r="U23" s="18">
        <f>IF((U22+S23)&gt;VOL,VOL,U22+S23)</f>
        <v>9358.333333333334</v>
      </c>
      <c r="V23" s="59"/>
      <c r="W23" s="7"/>
      <c r="X23" s="7"/>
      <c r="Y23" s="7"/>
    </row>
    <row r="24" spans="2:25" ht="12.75">
      <c r="B24" s="82" t="s">
        <v>65</v>
      </c>
      <c r="C24" s="30">
        <v>0.8</v>
      </c>
      <c r="D24" s="36">
        <v>900</v>
      </c>
      <c r="E24" s="31">
        <v>120</v>
      </c>
      <c r="F24" s="83">
        <f>D24*E24*C24*0.9</f>
        <v>77760</v>
      </c>
      <c r="G24" s="6"/>
      <c r="H24" s="7"/>
      <c r="I24" s="7"/>
      <c r="J24" s="7"/>
      <c r="K24" s="7"/>
      <c r="L24" s="12" t="s">
        <v>26</v>
      </c>
      <c r="M24" s="13">
        <v>75</v>
      </c>
      <c r="N24" s="14">
        <f>M24*0.6</f>
        <v>45.00000000000001</v>
      </c>
      <c r="O24" s="15">
        <f>N24*$E$24*0.8*0.9</f>
        <v>3888.000000000001</v>
      </c>
      <c r="P24" s="16">
        <f>$D$48</f>
        <v>4866.666666666667</v>
      </c>
      <c r="Q24" s="17">
        <v>0</v>
      </c>
      <c r="R24" s="16">
        <f>P24+Q24</f>
        <v>4866.666666666667</v>
      </c>
      <c r="S24" s="16">
        <f>O24-P24-Q24</f>
        <v>-978.6666666666661</v>
      </c>
      <c r="T24" s="19">
        <f>T23+S24</f>
        <v>12213.866666666672</v>
      </c>
      <c r="U24" s="18">
        <f>IF((U23+S24)&gt;VOL,VOL,U23+S24)</f>
        <v>8379.666666666668</v>
      </c>
      <c r="V24" s="59"/>
      <c r="W24" s="7"/>
      <c r="X24" s="7"/>
      <c r="Y24" s="7"/>
    </row>
    <row r="25" spans="2:25" ht="12.75">
      <c r="B25" s="82" t="s">
        <v>66</v>
      </c>
      <c r="C25" s="30">
        <v>0.7</v>
      </c>
      <c r="D25" s="36"/>
      <c r="E25" s="31"/>
      <c r="F25" s="83">
        <f>D25*E25*C25*0.9</f>
        <v>0</v>
      </c>
      <c r="G25" s="6"/>
      <c r="H25" s="7"/>
      <c r="I25" s="7"/>
      <c r="J25" s="7"/>
      <c r="K25" s="7"/>
      <c r="L25" s="24" t="s">
        <v>29</v>
      </c>
      <c r="M25" s="13">
        <v>60</v>
      </c>
      <c r="N25" s="14">
        <f>M25*0.6</f>
        <v>36.00000000000001</v>
      </c>
      <c r="O25" s="15">
        <f>N25*$E$24*0.8*0.9</f>
        <v>3110.400000000001</v>
      </c>
      <c r="P25" s="16">
        <f>$D$48</f>
        <v>4866.666666666667</v>
      </c>
      <c r="Q25" s="17">
        <v>0</v>
      </c>
      <c r="R25" s="16">
        <f>P25+Q25</f>
        <v>4866.666666666667</v>
      </c>
      <c r="S25" s="16">
        <f>O25-P25-Q25</f>
        <v>-1756.266666666666</v>
      </c>
      <c r="T25" s="19">
        <f>T24+S25</f>
        <v>10457.600000000006</v>
      </c>
      <c r="U25" s="18">
        <f>IF((U24+S25)&gt;VOL,VOL,U24+S25)</f>
        <v>6623.4000000000015</v>
      </c>
      <c r="V25" s="59"/>
      <c r="W25" s="7"/>
      <c r="X25" s="7"/>
      <c r="Y25" s="7"/>
    </row>
    <row r="26" spans="2:25" ht="12.75">
      <c r="B26" s="82" t="s">
        <v>67</v>
      </c>
      <c r="C26" s="30">
        <v>0.6</v>
      </c>
      <c r="D26" s="36"/>
      <c r="E26" s="31"/>
      <c r="F26" s="83">
        <f>D26*E26*C26*0.9</f>
        <v>0</v>
      </c>
      <c r="G26" s="6"/>
      <c r="H26" s="7"/>
      <c r="I26" s="7"/>
      <c r="J26" s="7"/>
      <c r="K26" s="7"/>
      <c r="L26" s="12" t="s">
        <v>31</v>
      </c>
      <c r="M26" s="13">
        <v>15</v>
      </c>
      <c r="N26" s="14">
        <f>M26*0.6</f>
        <v>9.000000000000002</v>
      </c>
      <c r="O26" s="15">
        <f>N26*$E$24*0.8*0.9</f>
        <v>777.6000000000003</v>
      </c>
      <c r="P26" s="16">
        <f>$D$48</f>
        <v>4866.666666666667</v>
      </c>
      <c r="Q26" s="17">
        <v>0</v>
      </c>
      <c r="R26" s="16">
        <f>P26+Q26</f>
        <v>4866.666666666667</v>
      </c>
      <c r="S26" s="16">
        <f>O26-P26-Q26</f>
        <v>-4089.0666666666666</v>
      </c>
      <c r="T26" s="19">
        <f>T25+S26</f>
        <v>6368.533333333339</v>
      </c>
      <c r="U26" s="18">
        <f>IF((U25+S26)&gt;VOL,VOL,U25+S26)</f>
        <v>2534.333333333335</v>
      </c>
      <c r="V26" s="59"/>
      <c r="W26" s="59"/>
      <c r="X26" s="7"/>
      <c r="Y26" s="7"/>
    </row>
    <row r="27" spans="2:25" ht="12.75">
      <c r="B27" s="82" t="s">
        <v>68</v>
      </c>
      <c r="C27" s="30">
        <v>0.3</v>
      </c>
      <c r="D27" s="36"/>
      <c r="E27" s="31"/>
      <c r="F27" s="83">
        <f>D27*E27*C27*0.9</f>
        <v>0</v>
      </c>
      <c r="G27" s="6"/>
      <c r="H27" s="7"/>
      <c r="I27" s="7"/>
      <c r="J27" s="7"/>
      <c r="K27" s="7"/>
      <c r="L27" s="24" t="s">
        <v>33</v>
      </c>
      <c r="M27" s="13">
        <v>45</v>
      </c>
      <c r="N27" s="14">
        <f>M27*0.6</f>
        <v>27.000000000000004</v>
      </c>
      <c r="O27" s="15">
        <f>N27*$E$24*0.8*0.9</f>
        <v>2332.8000000000006</v>
      </c>
      <c r="P27" s="16">
        <f>$D$48</f>
        <v>4866.666666666667</v>
      </c>
      <c r="Q27" s="17">
        <v>0</v>
      </c>
      <c r="R27" s="16">
        <f>P27+Q27</f>
        <v>4866.666666666667</v>
      </c>
      <c r="S27" s="16">
        <f>O27-P27-Q27</f>
        <v>-2533.8666666666663</v>
      </c>
      <c r="T27" s="19">
        <f>T26+S27</f>
        <v>3834.666666666673</v>
      </c>
      <c r="U27" s="18">
        <f>IF((U26+S27)&gt;VOL,VOL,U26+S27)</f>
        <v>0.466666666668516</v>
      </c>
      <c r="V27" s="59"/>
      <c r="W27" s="59"/>
      <c r="X27" s="7"/>
      <c r="Y27" s="7"/>
    </row>
    <row r="28" spans="2:25" ht="12.75">
      <c r="B28" s="82" t="s">
        <v>69</v>
      </c>
      <c r="C28" s="30">
        <v>0.5</v>
      </c>
      <c r="D28" s="36"/>
      <c r="E28" s="31"/>
      <c r="F28" s="83">
        <f>D28*E28*C28*0.9</f>
        <v>0</v>
      </c>
      <c r="G28" s="6"/>
      <c r="H28" s="7"/>
      <c r="I28" s="7"/>
      <c r="J28" s="7"/>
      <c r="K28" s="7"/>
      <c r="L28" s="12" t="s">
        <v>34</v>
      </c>
      <c r="M28" s="13">
        <v>135</v>
      </c>
      <c r="N28" s="14">
        <f>M28*0.6</f>
        <v>81.00000000000001</v>
      </c>
      <c r="O28" s="15">
        <f>N28*$E$24*0.8*0.9</f>
        <v>6998.4000000000015</v>
      </c>
      <c r="P28" s="16">
        <f>$D$48</f>
        <v>4866.666666666667</v>
      </c>
      <c r="Q28" s="17">
        <v>0</v>
      </c>
      <c r="R28" s="16">
        <f>P28+Q28</f>
        <v>4866.666666666667</v>
      </c>
      <c r="S28" s="18">
        <f>O28-P28-Q28</f>
        <v>2131.7333333333345</v>
      </c>
      <c r="T28" s="19">
        <f>T27+S28</f>
        <v>5966.400000000007</v>
      </c>
      <c r="U28" s="18">
        <f>IF((U27+S28)&gt;VOL,VOL,U27+S28)</f>
        <v>2132.200000000003</v>
      </c>
      <c r="V28" s="59"/>
      <c r="W28" s="59"/>
      <c r="X28" s="7"/>
      <c r="Y28" s="7"/>
    </row>
    <row r="29" spans="2:25" ht="12.75">
      <c r="B29" s="82" t="s">
        <v>70</v>
      </c>
      <c r="C29" s="30">
        <v>0.5</v>
      </c>
      <c r="D29" s="36"/>
      <c r="E29" s="31"/>
      <c r="F29" s="83">
        <f>D29*E29*C29*0.9</f>
        <v>0</v>
      </c>
      <c r="G29" s="6"/>
      <c r="H29" s="7"/>
      <c r="I29" s="7"/>
      <c r="J29" s="7"/>
      <c r="K29" s="7"/>
      <c r="L29" s="24" t="s">
        <v>38</v>
      </c>
      <c r="M29" s="13">
        <v>180</v>
      </c>
      <c r="N29" s="14">
        <f>M29*0.6</f>
        <v>108.00000000000001</v>
      </c>
      <c r="O29" s="15">
        <f>N29*$E$24*0.8*0.9</f>
        <v>9331.200000000003</v>
      </c>
      <c r="P29" s="16">
        <f>$D$48</f>
        <v>4866.666666666667</v>
      </c>
      <c r="Q29" s="17">
        <v>0</v>
      </c>
      <c r="R29" s="16">
        <f>P29+Q29</f>
        <v>4866.666666666667</v>
      </c>
      <c r="S29" s="18">
        <f>O29-P29-Q29</f>
        <v>4464.533333333336</v>
      </c>
      <c r="T29" s="19">
        <f>S29+T28</f>
        <v>10430.933333333342</v>
      </c>
      <c r="U29" s="18">
        <f>IF((U28+S29)&gt;VOL,VOL,U28+S29)</f>
        <v>6596.733333333339</v>
      </c>
      <c r="V29" s="59"/>
      <c r="W29" s="59"/>
      <c r="X29" s="7"/>
      <c r="Y29" s="7"/>
    </row>
    <row r="30" spans="2:25" ht="12.75">
      <c r="B30" s="84" t="s">
        <v>71</v>
      </c>
      <c r="C30" s="85">
        <v>0.3</v>
      </c>
      <c r="D30" s="86"/>
      <c r="E30" s="87"/>
      <c r="F30" s="83">
        <f>D30*E30*C30*0.9</f>
        <v>0</v>
      </c>
      <c r="G30" s="6"/>
      <c r="H30" s="7"/>
      <c r="I30" s="7"/>
      <c r="J30" s="7"/>
      <c r="K30" s="7"/>
      <c r="L30" s="12" t="s">
        <v>43</v>
      </c>
      <c r="M30" s="13">
        <v>150</v>
      </c>
      <c r="N30" s="14">
        <f>M30*0.6</f>
        <v>90.00000000000001</v>
      </c>
      <c r="O30" s="15">
        <f>N30*$E$24*0.8*0.9</f>
        <v>7776.000000000002</v>
      </c>
      <c r="P30" s="16">
        <f>$D$48</f>
        <v>4866.666666666667</v>
      </c>
      <c r="Q30" s="17">
        <v>0</v>
      </c>
      <c r="R30" s="16">
        <f>P30+Q30</f>
        <v>4866.666666666667</v>
      </c>
      <c r="S30" s="18">
        <f>O30-P30-Q30</f>
        <v>2909.333333333335</v>
      </c>
      <c r="T30" s="19">
        <f>S30+T29</f>
        <v>13340.266666666677</v>
      </c>
      <c r="U30" s="18">
        <f>IF((U29+S30)&gt;VOL,VOL,U29+S30)</f>
        <v>9506.066666666673</v>
      </c>
      <c r="V30" s="59"/>
      <c r="W30" s="59"/>
      <c r="X30" s="7"/>
      <c r="Y30" s="7"/>
    </row>
    <row r="31" spans="2:25" ht="12.75">
      <c r="B31" s="88" t="s">
        <v>72</v>
      </c>
      <c r="C31" s="89"/>
      <c r="D31" s="89"/>
      <c r="E31" s="89"/>
      <c r="F31" s="90">
        <f>SUM(F24:F30)</f>
        <v>77760</v>
      </c>
      <c r="G31" s="6"/>
      <c r="H31" s="7"/>
      <c r="I31" s="7"/>
      <c r="J31" s="7"/>
      <c r="K31" s="7"/>
      <c r="L31" s="57" t="s">
        <v>45</v>
      </c>
      <c r="M31" s="58">
        <v>210</v>
      </c>
      <c r="N31" s="14">
        <f>M31*0.6</f>
        <v>126.00000000000001</v>
      </c>
      <c r="O31" s="15">
        <f>N31*$E$24*0.8*0.9</f>
        <v>10886.400000000001</v>
      </c>
      <c r="P31" s="16">
        <f>$D$48</f>
        <v>4866.666666666667</v>
      </c>
      <c r="Q31" s="17">
        <v>0</v>
      </c>
      <c r="R31" s="16">
        <f>P31+Q31</f>
        <v>4866.666666666667</v>
      </c>
      <c r="S31" s="18">
        <f>O31-P31-Q31</f>
        <v>6019.7333333333345</v>
      </c>
      <c r="T31" s="19">
        <f>S31+T30</f>
        <v>19360.00000000001</v>
      </c>
      <c r="U31" s="18">
        <f>IF((U30+S31)&gt;VOL,VOL,U30+S31)</f>
        <v>10337</v>
      </c>
      <c r="V31" s="59"/>
      <c r="W31" s="59"/>
      <c r="X31" s="7"/>
      <c r="Y31" s="7"/>
    </row>
    <row r="32" spans="2:25" ht="12.75">
      <c r="B32" s="91"/>
      <c r="C32" s="92"/>
      <c r="D32" s="92"/>
      <c r="E32" s="92"/>
      <c r="F32" s="93"/>
      <c r="G32" s="6"/>
      <c r="H32" s="7"/>
      <c r="I32" s="7"/>
      <c r="J32" s="7"/>
      <c r="K32" s="7"/>
      <c r="L32" s="7"/>
      <c r="M32" s="7"/>
      <c r="N32" s="59">
        <f>SUM(N20:N31)</f>
        <v>900.0000000000001</v>
      </c>
      <c r="O32" s="60">
        <f>SUM(O20:O31)</f>
        <v>77760.00000000001</v>
      </c>
      <c r="P32" s="61">
        <f>SUM(P20:P31)</f>
        <v>58399.99999999999</v>
      </c>
      <c r="Q32" s="61">
        <f>SUM(Q20:Q31)</f>
        <v>0</v>
      </c>
      <c r="R32" s="62">
        <f>SUM(R20:R31)</f>
        <v>58399.99999999999</v>
      </c>
      <c r="S32" s="61"/>
      <c r="T32" s="7"/>
      <c r="U32" s="63"/>
      <c r="V32" s="7"/>
      <c r="W32" s="7"/>
      <c r="X32" s="7"/>
      <c r="Y32" s="7"/>
    </row>
    <row r="33" spans="2:25" ht="12.75">
      <c r="B33" s="94" t="s">
        <v>73</v>
      </c>
      <c r="C33" s="95"/>
      <c r="D33" s="95"/>
      <c r="E33" s="95"/>
      <c r="F33" s="96"/>
      <c r="G33" s="6"/>
      <c r="H33" s="7"/>
      <c r="I33" s="7"/>
      <c r="J33" s="7"/>
      <c r="K33" s="7"/>
      <c r="L33" s="7"/>
      <c r="M33" s="7"/>
      <c r="N33" s="59"/>
      <c r="O33" s="7"/>
      <c r="P33" s="7"/>
      <c r="Q33" s="7"/>
      <c r="R33" s="7"/>
      <c r="S33" s="64"/>
      <c r="T33" s="7"/>
      <c r="U33" s="7"/>
      <c r="V33" s="7"/>
      <c r="W33" s="7"/>
      <c r="X33" s="7"/>
      <c r="Y33" s="7"/>
    </row>
    <row r="34" spans="2:25" ht="12.75">
      <c r="B34" s="97" t="s">
        <v>74</v>
      </c>
      <c r="C34" s="97" t="s">
        <v>75</v>
      </c>
      <c r="D34" s="97" t="s">
        <v>76</v>
      </c>
      <c r="E34" s="97" t="s">
        <v>77</v>
      </c>
      <c r="F34" s="78" t="s">
        <v>78</v>
      </c>
      <c r="G34" s="6"/>
      <c r="H34" s="7"/>
      <c r="I34" s="7"/>
      <c r="J34" s="7"/>
      <c r="K34" s="7"/>
      <c r="L34" s="7"/>
      <c r="M34" s="7"/>
      <c r="N34" s="59"/>
      <c r="O34" s="7"/>
      <c r="P34" s="7"/>
      <c r="Q34" s="7"/>
      <c r="R34" s="7"/>
      <c r="S34" s="64" t="s">
        <v>79</v>
      </c>
      <c r="T34" s="59">
        <f>T22</f>
        <v>14171.200000000004</v>
      </c>
      <c r="U34" s="7"/>
      <c r="V34" s="7"/>
      <c r="W34" s="7"/>
      <c r="X34" s="7"/>
      <c r="Y34" s="7"/>
    </row>
    <row r="35" spans="2:25" ht="12.75">
      <c r="B35" s="98"/>
      <c r="C35" s="98" t="s">
        <v>80</v>
      </c>
      <c r="D35" s="98" t="s">
        <v>81</v>
      </c>
      <c r="E35" s="98" t="s">
        <v>82</v>
      </c>
      <c r="F35" s="80"/>
      <c r="G35" s="6"/>
      <c r="H35" s="7"/>
      <c r="I35" s="7"/>
      <c r="J35" s="7"/>
      <c r="K35" s="7"/>
      <c r="L35" s="7"/>
      <c r="M35" s="7"/>
      <c r="N35" s="59"/>
      <c r="O35" s="7"/>
      <c r="P35" s="7"/>
      <c r="Q35" s="7"/>
      <c r="R35" s="7"/>
      <c r="S35" s="64" t="s">
        <v>83</v>
      </c>
      <c r="T35" s="59">
        <f>T27</f>
        <v>3834.666666666673</v>
      </c>
      <c r="U35" s="7"/>
      <c r="V35" s="7"/>
      <c r="W35" s="7"/>
      <c r="X35" s="7"/>
      <c r="Y35" s="7"/>
    </row>
    <row r="36" spans="2:25" ht="12.75">
      <c r="B36" s="99" t="s">
        <v>84</v>
      </c>
      <c r="C36" s="30">
        <v>15</v>
      </c>
      <c r="D36" s="30">
        <v>4</v>
      </c>
      <c r="E36" s="30">
        <v>365</v>
      </c>
      <c r="F36" s="100">
        <f>C36*D36*E36</f>
        <v>21900</v>
      </c>
      <c r="G36" s="6"/>
      <c r="H36" s="7"/>
      <c r="I36" s="7"/>
      <c r="J36" s="7"/>
      <c r="K36" s="7"/>
      <c r="L36" s="7"/>
      <c r="M36" s="7"/>
      <c r="N36" s="59"/>
      <c r="O36" s="7"/>
      <c r="P36" s="7"/>
      <c r="Q36" s="7"/>
      <c r="R36" s="7"/>
      <c r="S36" s="7"/>
      <c r="T36" s="59">
        <f>T34-T35</f>
        <v>10336.533333333331</v>
      </c>
      <c r="U36" s="7"/>
      <c r="V36" s="7"/>
      <c r="W36" s="7"/>
      <c r="X36" s="7"/>
      <c r="Y36" s="7"/>
    </row>
    <row r="37" spans="2:25" ht="12.75">
      <c r="B37" s="99" t="s">
        <v>85</v>
      </c>
      <c r="C37" s="30">
        <v>60</v>
      </c>
      <c r="D37" s="30">
        <v>4</v>
      </c>
      <c r="E37" s="30">
        <v>365</v>
      </c>
      <c r="F37" s="100">
        <f>C37*D37*E37</f>
        <v>87600</v>
      </c>
      <c r="G37" s="6"/>
      <c r="H37" s="7"/>
      <c r="I37" s="7"/>
      <c r="J37" s="7"/>
      <c r="K37" s="7"/>
      <c r="L37" s="7"/>
      <c r="M37" s="7"/>
      <c r="N37" s="5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 ht="12.75">
      <c r="B38" s="99" t="s">
        <v>86</v>
      </c>
      <c r="C38" s="30">
        <v>150</v>
      </c>
      <c r="D38" s="30">
        <v>4</v>
      </c>
      <c r="E38" s="30">
        <v>12</v>
      </c>
      <c r="F38" s="100">
        <f>C38*D38*E38</f>
        <v>7200</v>
      </c>
      <c r="G38" s="6"/>
      <c r="H38" s="7"/>
      <c r="I38" s="7"/>
      <c r="J38" s="7"/>
      <c r="K38" s="7"/>
      <c r="L38" s="7"/>
      <c r="M38" s="7"/>
      <c r="N38" s="59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 ht="12.75">
      <c r="B39" s="101" t="s">
        <v>87</v>
      </c>
      <c r="C39" s="102"/>
      <c r="D39" s="102"/>
      <c r="E39" s="102"/>
      <c r="F39" s="103">
        <f>SUM(F36:F38)</f>
        <v>116700</v>
      </c>
      <c r="G39" s="6"/>
      <c r="H39" s="7"/>
      <c r="I39" s="7"/>
      <c r="J39" s="7"/>
      <c r="K39" s="7"/>
      <c r="L39" s="7"/>
      <c r="M39" s="7"/>
      <c r="N39" s="59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ht="12.75">
      <c r="B40" s="104"/>
      <c r="C40" s="92"/>
      <c r="D40" s="92"/>
      <c r="E40" s="92"/>
      <c r="F40" s="104"/>
      <c r="G40" s="6"/>
      <c r="H40" s="7"/>
      <c r="I40" s="7"/>
      <c r="J40" s="7"/>
      <c r="K40" s="7"/>
      <c r="L40" s="7"/>
      <c r="M40" s="7"/>
      <c r="N40" s="59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ht="12.75">
      <c r="B41" s="48" t="s">
        <v>88</v>
      </c>
      <c r="C41" s="21" t="s">
        <v>89</v>
      </c>
      <c r="D41" s="105" t="s">
        <v>90</v>
      </c>
      <c r="E41" s="106" t="s">
        <v>91</v>
      </c>
      <c r="F41" s="104"/>
      <c r="G41" s="6"/>
      <c r="H41" s="7"/>
      <c r="I41" s="7"/>
      <c r="J41" s="7"/>
      <c r="K41" s="7"/>
      <c r="L41" s="7"/>
      <c r="M41" s="7"/>
      <c r="N41" s="59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ht="12.75">
      <c r="B42" s="107" t="s">
        <v>92</v>
      </c>
      <c r="C42" s="108">
        <f>F9</f>
        <v>58400</v>
      </c>
      <c r="D42" s="109">
        <f>F31</f>
        <v>77760</v>
      </c>
      <c r="E42" s="103">
        <f>F39</f>
        <v>116700</v>
      </c>
      <c r="F42" s="104"/>
      <c r="G42" s="6"/>
      <c r="H42" s="7"/>
      <c r="I42" s="7"/>
      <c r="J42" s="7"/>
      <c r="K42" s="7"/>
      <c r="L42" s="7"/>
      <c r="M42" s="7"/>
      <c r="N42" s="59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5" ht="12.75">
      <c r="B43" s="104"/>
      <c r="C43" s="92"/>
      <c r="D43" s="92"/>
      <c r="E43" s="92"/>
      <c r="F43" s="104"/>
      <c r="G43" s="6"/>
      <c r="H43" s="7"/>
      <c r="I43" s="7"/>
      <c r="J43" s="7"/>
      <c r="K43" s="7"/>
      <c r="L43" s="7"/>
      <c r="M43" s="7"/>
      <c r="N43" s="59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ht="12.75">
      <c r="B44" s="104"/>
      <c r="C44" s="92"/>
      <c r="D44" s="92"/>
      <c r="E44" s="92"/>
      <c r="F44" s="104"/>
      <c r="G44" s="6"/>
      <c r="H44" s="7"/>
      <c r="I44" s="7"/>
      <c r="J44" s="7"/>
      <c r="K44" s="7"/>
      <c r="L44" s="7"/>
      <c r="M44" s="7"/>
      <c r="N44" s="59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5" ht="12.75">
      <c r="B45" s="110"/>
      <c r="C45" s="111"/>
      <c r="D45" s="112" t="s">
        <v>93</v>
      </c>
      <c r="E45" s="111"/>
      <c r="F45" s="110"/>
      <c r="G45" s="6"/>
      <c r="H45" s="7"/>
      <c r="I45" s="7"/>
      <c r="J45" s="7"/>
      <c r="K45" s="7"/>
      <c r="L45" s="7"/>
      <c r="M45" s="7"/>
      <c r="N45" s="59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5" ht="12.75">
      <c r="B46" s="113" t="s">
        <v>94</v>
      </c>
      <c r="C46" s="113" t="s">
        <v>95</v>
      </c>
      <c r="D46" s="113" t="s">
        <v>1</v>
      </c>
      <c r="E46" s="113" t="s">
        <v>96</v>
      </c>
      <c r="F46" s="114"/>
      <c r="G46" s="6"/>
      <c r="H46" s="7"/>
      <c r="I46" s="7"/>
      <c r="J46" s="7"/>
      <c r="K46" s="7"/>
      <c r="L46" s="7"/>
      <c r="M46" s="7"/>
      <c r="N46" s="59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 ht="12.75">
      <c r="B47" s="115" t="s">
        <v>97</v>
      </c>
      <c r="C47" s="116">
        <f>F18</f>
        <v>22500</v>
      </c>
      <c r="D47" s="117">
        <f>C47/6</f>
        <v>3750</v>
      </c>
      <c r="E47" s="118">
        <f>D47/30</f>
        <v>125</v>
      </c>
      <c r="F47" t="s">
        <v>98</v>
      </c>
      <c r="G47" s="6"/>
      <c r="H47" s="7"/>
      <c r="I47" s="7"/>
      <c r="J47" s="7"/>
      <c r="K47" s="7"/>
      <c r="L47" s="7"/>
      <c r="M47" s="7"/>
      <c r="N47" s="59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 ht="12.75">
      <c r="B48" s="115" t="s">
        <v>99</v>
      </c>
      <c r="C48" s="116">
        <f>F9</f>
        <v>58400</v>
      </c>
      <c r="D48" s="117">
        <f>C48/12</f>
        <v>4866.666666666667</v>
      </c>
      <c r="E48" s="119">
        <f>D48/30</f>
        <v>162.22222222222223</v>
      </c>
      <c r="G48" s="6"/>
      <c r="H48" s="7"/>
      <c r="I48" s="7"/>
      <c r="J48" s="7"/>
      <c r="K48" s="7"/>
      <c r="L48" s="7"/>
      <c r="M48" s="7"/>
      <c r="N48" s="59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 ht="12.75">
      <c r="B49" s="120" t="s">
        <v>100</v>
      </c>
      <c r="C49" s="121">
        <f>F19</f>
        <v>80900</v>
      </c>
      <c r="D49" s="121">
        <f>D47+D48</f>
        <v>8616.666666666668</v>
      </c>
      <c r="E49" s="122" t="s">
        <v>101</v>
      </c>
      <c r="F49" s="114"/>
      <c r="G49" s="6"/>
      <c r="H49" s="7"/>
      <c r="I49" s="7"/>
      <c r="J49" s="7"/>
      <c r="K49" s="7"/>
      <c r="L49" s="7"/>
      <c r="M49" s="7"/>
      <c r="N49" s="59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ht="12.75">
      <c r="B50" s="123"/>
      <c r="C50" s="124"/>
      <c r="D50" s="124"/>
      <c r="E50" s="125"/>
      <c r="F50" s="114"/>
      <c r="G50" s="6"/>
      <c r="H50" s="7"/>
      <c r="I50" s="7"/>
      <c r="J50" s="7"/>
      <c r="K50" s="7"/>
      <c r="L50" s="7"/>
      <c r="M50" s="7"/>
      <c r="N50" s="59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 ht="12.75">
      <c r="B51" s="110"/>
      <c r="C51" s="126"/>
      <c r="D51" s="126" t="s">
        <v>102</v>
      </c>
      <c r="E51" s="126"/>
      <c r="F51" s="114"/>
      <c r="G51" s="6"/>
      <c r="H51" s="7"/>
      <c r="I51" s="7"/>
      <c r="J51" s="7"/>
      <c r="K51" s="7"/>
      <c r="L51" s="7"/>
      <c r="M51" s="7"/>
      <c r="N51" s="59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2:25" ht="12.75">
      <c r="B52" s="113" t="s">
        <v>103</v>
      </c>
      <c r="C52" s="113" t="s">
        <v>95</v>
      </c>
      <c r="D52" s="113" t="s">
        <v>1</v>
      </c>
      <c r="E52" s="113" t="s">
        <v>96</v>
      </c>
      <c r="F52" s="127"/>
      <c r="G52" s="6"/>
      <c r="H52" s="7"/>
      <c r="I52" s="7"/>
      <c r="J52" s="7"/>
      <c r="K52" s="7"/>
      <c r="L52" s="7"/>
      <c r="M52" s="7"/>
      <c r="N52" s="59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ht="12.75">
      <c r="B53" s="128" t="s">
        <v>104</v>
      </c>
      <c r="C53" s="129">
        <f>F31</f>
        <v>77760</v>
      </c>
      <c r="D53" s="129">
        <f>F31/12</f>
        <v>6480</v>
      </c>
      <c r="E53" s="130">
        <v>197</v>
      </c>
      <c r="F53" s="131"/>
      <c r="G53" s="6"/>
      <c r="H53" s="7"/>
      <c r="I53" s="7"/>
      <c r="J53" s="7"/>
      <c r="K53" s="7"/>
      <c r="L53" s="7"/>
      <c r="M53" s="7"/>
      <c r="N53" s="59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ht="12.75">
      <c r="B54" s="128" t="s">
        <v>105</v>
      </c>
      <c r="C54" s="129">
        <f>F39</f>
        <v>116700</v>
      </c>
      <c r="D54" s="129">
        <f>E54*30</f>
        <v>9591.780821917808</v>
      </c>
      <c r="E54" s="130">
        <f>F39/365</f>
        <v>319.7260273972603</v>
      </c>
      <c r="F54" s="131"/>
      <c r="G54" s="6"/>
      <c r="H54" s="7"/>
      <c r="I54" s="7"/>
      <c r="J54" s="7"/>
      <c r="K54" s="7"/>
      <c r="L54" s="7"/>
      <c r="M54" s="7"/>
      <c r="N54" s="59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ht="12.75">
      <c r="B55" s="132"/>
      <c r="C55" s="110"/>
      <c r="D55" s="110"/>
      <c r="E55" s="110"/>
      <c r="F55" s="110"/>
      <c r="G55" s="6"/>
      <c r="H55" s="7"/>
      <c r="I55" s="7"/>
      <c r="J55" s="7"/>
      <c r="K55" s="7"/>
      <c r="L55" s="7"/>
      <c r="M55" s="7"/>
      <c r="N55" s="59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2.75">
      <c r="B56" s="133" t="s">
        <v>106</v>
      </c>
      <c r="C56" s="134"/>
      <c r="D56" s="135"/>
      <c r="E56" s="135"/>
      <c r="F56" s="136"/>
      <c r="G56" s="6"/>
      <c r="H56" s="7"/>
      <c r="I56" s="7"/>
      <c r="J56" s="7"/>
      <c r="K56" s="7"/>
      <c r="L56" s="7"/>
      <c r="M56" s="7"/>
      <c r="N56" s="59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2.75">
      <c r="B57" s="137" t="s">
        <v>107</v>
      </c>
      <c r="C57" s="138"/>
      <c r="D57" s="139"/>
      <c r="E57" s="140">
        <f>D53</f>
        <v>6480</v>
      </c>
      <c r="F57" s="141" t="s">
        <v>108</v>
      </c>
      <c r="G57" s="6"/>
      <c r="H57" s="7"/>
      <c r="I57" s="7"/>
      <c r="J57" s="7"/>
      <c r="K57" s="7"/>
      <c r="L57" s="7"/>
      <c r="M57" s="7"/>
      <c r="N57" s="59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2.75">
      <c r="B58" s="137" t="s">
        <v>109</v>
      </c>
      <c r="C58" s="138"/>
      <c r="D58" s="139"/>
      <c r="E58" s="140">
        <f>E54</f>
        <v>319.7260273972603</v>
      </c>
      <c r="F58" s="141" t="s">
        <v>110</v>
      </c>
      <c r="G58" s="6"/>
      <c r="H58" s="7"/>
      <c r="I58" s="7"/>
      <c r="J58" s="7"/>
      <c r="K58" s="7"/>
      <c r="L58" s="7"/>
      <c r="M58" s="7"/>
      <c r="N58" s="59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5" ht="12.75">
      <c r="B59" s="142" t="s">
        <v>111</v>
      </c>
      <c r="C59" s="143"/>
      <c r="D59" s="139"/>
      <c r="E59" s="144">
        <f>E57-E60</f>
        <v>6254.99456403566</v>
      </c>
      <c r="F59" s="141"/>
      <c r="G59" s="6"/>
      <c r="H59" s="7"/>
      <c r="I59" s="7"/>
      <c r="J59" s="7"/>
      <c r="K59" s="7"/>
      <c r="L59" s="7"/>
      <c r="M59" s="7"/>
      <c r="N59" s="59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ht="12.75">
      <c r="B60" s="145" t="s">
        <v>112</v>
      </c>
      <c r="C60" s="146"/>
      <c r="D60" s="147"/>
      <c r="E60" s="148">
        <f>(D54-D48)/21</f>
        <v>225.00543596434005</v>
      </c>
      <c r="F60" s="149"/>
      <c r="G60" s="6"/>
      <c r="H60" s="7"/>
      <c r="I60" s="7"/>
      <c r="J60" s="7"/>
      <c r="K60" s="7"/>
      <c r="L60" s="7"/>
      <c r="M60" s="7"/>
      <c r="N60" s="59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ht="12.75">
      <c r="B61" s="150" t="s">
        <v>113</v>
      </c>
      <c r="C61" s="151"/>
      <c r="D61" s="151"/>
      <c r="E61" s="151"/>
      <c r="F61" s="152"/>
      <c r="G61" s="6"/>
      <c r="H61" s="7"/>
      <c r="I61" s="7"/>
      <c r="J61" s="7"/>
      <c r="K61" s="7"/>
      <c r="L61" s="7"/>
      <c r="M61" s="7"/>
      <c r="N61" s="59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2.75">
      <c r="B62" s="153" t="s">
        <v>114</v>
      </c>
      <c r="C62" s="147"/>
      <c r="D62" s="147"/>
      <c r="E62" s="147"/>
      <c r="F62" s="154">
        <f>F19*0.0027*10</f>
        <v>2184.3</v>
      </c>
      <c r="G62" s="6"/>
      <c r="H62" s="7"/>
      <c r="I62" s="7"/>
      <c r="J62" s="7"/>
      <c r="K62" s="7"/>
      <c r="L62" s="7"/>
      <c r="M62" s="7"/>
      <c r="N62" s="59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2.75">
      <c r="B63" s="155"/>
      <c r="C63" s="155"/>
      <c r="D63" s="155"/>
      <c r="E63" s="155"/>
      <c r="F63" s="155"/>
      <c r="G63" s="6"/>
      <c r="H63" s="7"/>
      <c r="I63" s="7"/>
      <c r="J63" s="7"/>
      <c r="K63" s="7"/>
      <c r="L63" s="7"/>
      <c r="M63" s="7"/>
      <c r="N63" s="59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2.75">
      <c r="B64" s="156" t="s">
        <v>115</v>
      </c>
      <c r="C64" s="6"/>
      <c r="D64" s="6"/>
      <c r="E64" s="6"/>
      <c r="F64" s="6"/>
      <c r="G64" s="6"/>
      <c r="H64" s="7"/>
      <c r="I64" s="7"/>
      <c r="J64" s="7"/>
      <c r="K64" s="7"/>
      <c r="L64" s="7"/>
      <c r="M64" s="7"/>
      <c r="N64" s="59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2.75">
      <c r="B65" s="156" t="s">
        <v>116</v>
      </c>
      <c r="C65" s="6"/>
      <c r="D65" s="6"/>
      <c r="E65" s="6"/>
      <c r="F65" s="6"/>
      <c r="G65" s="6"/>
      <c r="H65" s="7"/>
      <c r="I65" s="7"/>
      <c r="J65" s="7"/>
      <c r="K65" s="7"/>
      <c r="L65" s="7"/>
      <c r="M65" s="7"/>
      <c r="N65" s="59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ht="12.75">
      <c r="B66" s="156" t="s">
        <v>117</v>
      </c>
      <c r="C66" s="6"/>
      <c r="D66" s="6"/>
      <c r="E66" s="6"/>
      <c r="F66" s="6"/>
      <c r="G66" s="6"/>
      <c r="H66" s="7"/>
      <c r="I66" s="7"/>
      <c r="J66" s="7"/>
      <c r="K66" s="7"/>
      <c r="L66" s="7"/>
      <c r="M66" s="7"/>
      <c r="N66" s="59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B1:Y66"/>
  <sheetViews>
    <sheetView tabSelected="1" zoomScale="65" zoomScaleNormal="65" workbookViewId="0" topLeftCell="B18">
      <selection activeCell="U32" sqref="U32"/>
    </sheetView>
  </sheetViews>
  <sheetFormatPr defaultColWidth="9.140625" defaultRowHeight="12.75"/>
  <cols>
    <col min="1" max="2" width="39.28125" style="0" customWidth="1"/>
    <col min="3" max="3" width="21.140625" style="0" customWidth="1"/>
    <col min="4" max="4" width="23.140625" style="0" customWidth="1"/>
    <col min="5" max="5" width="25.140625" style="0" customWidth="1"/>
    <col min="6" max="6" width="36.00390625" style="0" customWidth="1"/>
    <col min="12" max="12" width="29.421875" style="0" customWidth="1"/>
    <col min="13" max="13" width="0" style="0" hidden="1" customWidth="1"/>
    <col min="14" max="14" width="16.140625" style="1" customWidth="1"/>
    <col min="15" max="15" width="18.8515625" style="0" customWidth="1"/>
    <col min="16" max="16" width="22.28125" style="0" customWidth="1"/>
    <col min="17" max="17" width="22.7109375" style="0" customWidth="1"/>
    <col min="18" max="19" width="23.28125" style="0" customWidth="1"/>
    <col min="20" max="20" width="23.140625" style="0" customWidth="1"/>
    <col min="21" max="21" width="21.7109375" style="0" customWidth="1"/>
    <col min="22" max="22" width="24.140625" style="0" customWidth="1"/>
    <col min="23" max="23" width="23.57421875" style="0" customWidth="1"/>
  </cols>
  <sheetData>
    <row r="1" spans="2:25" ht="12.75">
      <c r="B1" s="2" t="s">
        <v>0</v>
      </c>
      <c r="C1" s="3"/>
      <c r="D1" s="4"/>
      <c r="E1" s="4"/>
      <c r="F1" s="5"/>
      <c r="G1" s="6"/>
      <c r="H1" s="7"/>
      <c r="I1" s="7"/>
      <c r="J1" s="7"/>
      <c r="K1" s="7"/>
      <c r="L1" s="8" t="s">
        <v>1</v>
      </c>
      <c r="M1" s="9" t="s">
        <v>2</v>
      </c>
      <c r="N1" s="10" t="s">
        <v>3</v>
      </c>
      <c r="O1" s="10" t="s">
        <v>4</v>
      </c>
      <c r="P1" s="10" t="s">
        <v>5</v>
      </c>
      <c r="Q1" s="10" t="s">
        <v>6</v>
      </c>
      <c r="R1" s="10" t="s">
        <v>7</v>
      </c>
      <c r="S1" s="10" t="s">
        <v>8</v>
      </c>
      <c r="T1" s="10" t="s">
        <v>9</v>
      </c>
      <c r="U1" s="10" t="s">
        <v>10</v>
      </c>
      <c r="V1" s="7"/>
      <c r="W1" s="7"/>
      <c r="X1" s="7"/>
      <c r="Y1" s="7"/>
    </row>
    <row r="2" spans="2:25" ht="12.75">
      <c r="B2" s="11"/>
      <c r="C2" s="11"/>
      <c r="D2" s="11"/>
      <c r="E2" s="11"/>
      <c r="F2" s="11"/>
      <c r="G2" s="6"/>
      <c r="H2" s="7"/>
      <c r="I2" s="7"/>
      <c r="J2" s="7"/>
      <c r="K2" s="7"/>
      <c r="L2" s="12" t="s">
        <v>11</v>
      </c>
      <c r="M2" s="13">
        <v>195</v>
      </c>
      <c r="N2" s="14">
        <f>M2*0.6</f>
        <v>117.00000000000001</v>
      </c>
      <c r="O2" s="15">
        <f>N2*$E$24*0.8*0.9</f>
        <v>10108.800000000001</v>
      </c>
      <c r="P2" s="16">
        <f>$D$48</f>
        <v>4866.666666666667</v>
      </c>
      <c r="Q2" s="17">
        <v>0</v>
      </c>
      <c r="R2" s="17">
        <f>P2+Q2</f>
        <v>4866.666666666667</v>
      </c>
      <c r="S2" s="18">
        <f>O2-P2-Q2</f>
        <v>5242.133333333334</v>
      </c>
      <c r="T2" s="19">
        <f>S2</f>
        <v>5242.133333333334</v>
      </c>
      <c r="U2" s="18">
        <f>R2</f>
        <v>4866.666666666667</v>
      </c>
      <c r="V2" s="7"/>
      <c r="W2" s="7"/>
      <c r="X2" s="7"/>
      <c r="Y2" s="7"/>
    </row>
    <row r="3" spans="2:25" ht="12.75">
      <c r="B3" s="20" t="s">
        <v>12</v>
      </c>
      <c r="C3" s="21" t="s">
        <v>13</v>
      </c>
      <c r="D3" s="22" t="s">
        <v>14</v>
      </c>
      <c r="E3" s="21" t="s">
        <v>15</v>
      </c>
      <c r="F3" s="23" t="s">
        <v>16</v>
      </c>
      <c r="G3" s="6"/>
      <c r="H3" s="7"/>
      <c r="I3" s="7"/>
      <c r="J3" s="7"/>
      <c r="K3" s="7"/>
      <c r="L3" s="24" t="s">
        <v>17</v>
      </c>
      <c r="M3" s="13">
        <v>225</v>
      </c>
      <c r="N3" s="14">
        <f>M3*0.6</f>
        <v>135.00000000000003</v>
      </c>
      <c r="O3" s="15">
        <f>N3*$E$24*0.8*0.9</f>
        <v>11664.000000000004</v>
      </c>
      <c r="P3" s="16">
        <f>$D$48</f>
        <v>4866.666666666667</v>
      </c>
      <c r="Q3" s="17">
        <v>0</v>
      </c>
      <c r="R3" s="17">
        <f>P3+Q3</f>
        <v>4866.666666666667</v>
      </c>
      <c r="S3" s="18">
        <f>O3-P3-Q3</f>
        <v>6797.333333333337</v>
      </c>
      <c r="T3" s="19">
        <f>S3+T2</f>
        <v>12039.46666666667</v>
      </c>
      <c r="U3" s="18">
        <f>R3</f>
        <v>4866.666666666667</v>
      </c>
      <c r="V3" s="7"/>
      <c r="W3" s="7"/>
      <c r="X3" s="7"/>
      <c r="Y3" s="7"/>
    </row>
    <row r="4" spans="2:25" ht="12.75">
      <c r="B4" s="25"/>
      <c r="C4" s="26" t="s">
        <v>18</v>
      </c>
      <c r="D4" s="27" t="s">
        <v>19</v>
      </c>
      <c r="E4" s="26" t="s">
        <v>20</v>
      </c>
      <c r="F4" s="28" t="s">
        <v>21</v>
      </c>
      <c r="G4" s="6"/>
      <c r="H4" s="7"/>
      <c r="I4" s="7"/>
      <c r="J4" s="7"/>
      <c r="K4" s="7"/>
      <c r="L4" s="12" t="s">
        <v>22</v>
      </c>
      <c r="M4" s="13">
        <v>135</v>
      </c>
      <c r="N4" s="14">
        <f>M4*0.6</f>
        <v>81.00000000000001</v>
      </c>
      <c r="O4" s="15">
        <f>N4*$E$24*0.8*0.9</f>
        <v>6998.4000000000015</v>
      </c>
      <c r="P4" s="16">
        <f>$D$48</f>
        <v>4866.666666666667</v>
      </c>
      <c r="Q4" s="17">
        <v>0</v>
      </c>
      <c r="R4" s="17">
        <f>P4+Q4</f>
        <v>4866.666666666667</v>
      </c>
      <c r="S4" s="18">
        <f>O4-P4-Q4</f>
        <v>2131.7333333333345</v>
      </c>
      <c r="T4" s="19">
        <f>S4+T3</f>
        <v>14171.200000000004</v>
      </c>
      <c r="U4" s="18">
        <f>R4</f>
        <v>4866.666666666667</v>
      </c>
      <c r="V4" s="7"/>
      <c r="W4" s="7"/>
      <c r="X4" s="7"/>
      <c r="Y4" s="7"/>
    </row>
    <row r="5" spans="2:25" ht="12.75">
      <c r="B5" s="29" t="s">
        <v>23</v>
      </c>
      <c r="C5" s="30">
        <v>24</v>
      </c>
      <c r="D5" s="31">
        <v>4</v>
      </c>
      <c r="E5" s="32">
        <v>365</v>
      </c>
      <c r="F5" s="33">
        <f>C5*D5*E5</f>
        <v>35040</v>
      </c>
      <c r="G5" s="6"/>
      <c r="H5" s="7"/>
      <c r="I5" s="7"/>
      <c r="J5" s="7"/>
      <c r="K5" s="7"/>
      <c r="L5" s="24" t="s">
        <v>24</v>
      </c>
      <c r="M5" s="13">
        <v>75</v>
      </c>
      <c r="N5" s="14">
        <f>M5*0.6</f>
        <v>45.00000000000001</v>
      </c>
      <c r="O5" s="15">
        <f>N5*$E$24*0.8*0.9</f>
        <v>3888.000000000001</v>
      </c>
      <c r="P5" s="16">
        <f>$D$48</f>
        <v>4866.666666666667</v>
      </c>
      <c r="Q5" s="16">
        <f>$D$49</f>
        <v>8616.666666666668</v>
      </c>
      <c r="R5" s="17">
        <f>P5+Q5</f>
        <v>13483.333333333336</v>
      </c>
      <c r="S5" s="34">
        <f>O5-P5-Q5</f>
        <v>-9595.333333333334</v>
      </c>
      <c r="T5" s="19">
        <f>T4+S5</f>
        <v>4575.86666666667</v>
      </c>
      <c r="U5" s="35">
        <f>O5</f>
        <v>3888.000000000001</v>
      </c>
      <c r="V5" s="7"/>
      <c r="W5" s="7"/>
      <c r="X5" s="7"/>
      <c r="Y5" s="7"/>
    </row>
    <row r="6" spans="2:25" ht="12.75">
      <c r="B6" s="29" t="s">
        <v>25</v>
      </c>
      <c r="C6" s="30">
        <v>14</v>
      </c>
      <c r="D6" s="31">
        <v>4</v>
      </c>
      <c r="E6" s="36">
        <v>365</v>
      </c>
      <c r="F6" s="33">
        <f>C6*D6*E6</f>
        <v>20440</v>
      </c>
      <c r="G6" s="6"/>
      <c r="H6" s="7"/>
      <c r="I6" s="7"/>
      <c r="J6" s="7"/>
      <c r="K6" s="7"/>
      <c r="L6" s="12" t="s">
        <v>26</v>
      </c>
      <c r="M6" s="13">
        <v>75</v>
      </c>
      <c r="N6" s="14">
        <f>M6*0.6</f>
        <v>45.00000000000001</v>
      </c>
      <c r="O6" s="15">
        <f>N6*$E$24*0.8*0.9</f>
        <v>3888.000000000001</v>
      </c>
      <c r="P6" s="16">
        <f>$D$48</f>
        <v>4866.666666666667</v>
      </c>
      <c r="Q6" s="16">
        <f>$D$49</f>
        <v>8616.666666666668</v>
      </c>
      <c r="R6" s="17">
        <f>P6+Q6</f>
        <v>13483.333333333336</v>
      </c>
      <c r="S6" s="34">
        <f>O6-P6-Q6</f>
        <v>-9595.333333333334</v>
      </c>
      <c r="T6" s="37" t="s">
        <v>27</v>
      </c>
      <c r="U6" s="38">
        <f>O6</f>
        <v>3888.000000000001</v>
      </c>
      <c r="V6" s="7"/>
      <c r="W6" s="7"/>
      <c r="X6" s="7"/>
      <c r="Y6" s="7"/>
    </row>
    <row r="7" spans="2:25" ht="12.75">
      <c r="B7" s="29" t="s">
        <v>28</v>
      </c>
      <c r="C7" s="30">
        <v>2</v>
      </c>
      <c r="D7" s="31">
        <v>4</v>
      </c>
      <c r="E7" s="36">
        <v>365</v>
      </c>
      <c r="F7" s="33">
        <f>C7*D7*E7</f>
        <v>2920</v>
      </c>
      <c r="G7" s="6"/>
      <c r="H7" s="7"/>
      <c r="I7" s="7"/>
      <c r="J7" s="7"/>
      <c r="K7" s="7"/>
      <c r="L7" s="24" t="s">
        <v>29</v>
      </c>
      <c r="M7" s="13">
        <v>60</v>
      </c>
      <c r="N7" s="14">
        <f>M7*0.6</f>
        <v>36.00000000000001</v>
      </c>
      <c r="O7" s="15">
        <f>N7*$E$24*0.8*0.9</f>
        <v>3110.400000000001</v>
      </c>
      <c r="P7" s="16">
        <f>$D$48</f>
        <v>4866.666666666667</v>
      </c>
      <c r="Q7" s="16">
        <f>$D$49</f>
        <v>8616.666666666668</v>
      </c>
      <c r="R7" s="17">
        <f>P7+Q7</f>
        <v>13483.333333333336</v>
      </c>
      <c r="S7" s="34">
        <f>O7-P7-Q7</f>
        <v>-10372.933333333334</v>
      </c>
      <c r="T7" s="37" t="s">
        <v>27</v>
      </c>
      <c r="U7" s="38">
        <f>O7</f>
        <v>3110.400000000001</v>
      </c>
      <c r="V7" s="7"/>
      <c r="W7" s="7"/>
      <c r="X7" s="7"/>
      <c r="Y7" s="7"/>
    </row>
    <row r="8" spans="2:25" ht="12.75">
      <c r="B8" s="39" t="s">
        <v>30</v>
      </c>
      <c r="C8" s="30">
        <v>0</v>
      </c>
      <c r="D8" s="31">
        <v>0</v>
      </c>
      <c r="E8" s="36">
        <v>0</v>
      </c>
      <c r="F8" s="40">
        <f>C8*D8*E8</f>
        <v>0</v>
      </c>
      <c r="G8" s="6"/>
      <c r="H8" s="7"/>
      <c r="I8" s="7"/>
      <c r="J8" s="7"/>
      <c r="K8" s="7"/>
      <c r="L8" s="12" t="s">
        <v>31</v>
      </c>
      <c r="M8" s="13">
        <v>15</v>
      </c>
      <c r="N8" s="14">
        <f>M8*0.6</f>
        <v>9.000000000000002</v>
      </c>
      <c r="O8" s="15">
        <f>N8*$E$24*0.8*0.9</f>
        <v>777.6000000000003</v>
      </c>
      <c r="P8" s="16">
        <f>$D$48</f>
        <v>4866.666666666667</v>
      </c>
      <c r="Q8" s="16">
        <f>$D$49</f>
        <v>8616.666666666668</v>
      </c>
      <c r="R8" s="17">
        <f>P8+Q8</f>
        <v>13483.333333333336</v>
      </c>
      <c r="S8" s="34">
        <f>O8-P8-Q8</f>
        <v>-12705.733333333334</v>
      </c>
      <c r="T8" s="37" t="s">
        <v>27</v>
      </c>
      <c r="U8" s="38">
        <f>O8</f>
        <v>777.6000000000003</v>
      </c>
      <c r="V8" s="7"/>
      <c r="W8" s="7"/>
      <c r="X8" s="7"/>
      <c r="Y8" s="7"/>
    </row>
    <row r="9" spans="2:25" ht="12.75">
      <c r="B9" s="41" t="s">
        <v>32</v>
      </c>
      <c r="C9" s="42"/>
      <c r="D9" s="42"/>
      <c r="E9" s="43"/>
      <c r="F9" s="44">
        <f>F5+F6+F7+F8</f>
        <v>58400</v>
      </c>
      <c r="G9" s="6"/>
      <c r="H9" s="7"/>
      <c r="I9" s="7"/>
      <c r="J9" s="7"/>
      <c r="K9" s="7"/>
      <c r="L9" s="24" t="s">
        <v>33</v>
      </c>
      <c r="M9" s="13">
        <v>45</v>
      </c>
      <c r="N9" s="14">
        <f>M9*0.6</f>
        <v>27.000000000000004</v>
      </c>
      <c r="O9" s="15">
        <f>N9*$E$24*0.8*0.9</f>
        <v>2332.8000000000006</v>
      </c>
      <c r="P9" s="16">
        <f>$D$48</f>
        <v>4866.666666666667</v>
      </c>
      <c r="Q9" s="16">
        <f>$D$49</f>
        <v>8616.666666666668</v>
      </c>
      <c r="R9" s="17">
        <f>P9+Q9</f>
        <v>13483.333333333336</v>
      </c>
      <c r="S9" s="34">
        <f>O9-P9-Q9</f>
        <v>-11150.533333333335</v>
      </c>
      <c r="T9" s="37" t="s">
        <v>27</v>
      </c>
      <c r="U9" s="38">
        <f>O9</f>
        <v>2332.8000000000006</v>
      </c>
      <c r="V9" s="7"/>
      <c r="W9" s="7"/>
      <c r="X9" s="7"/>
      <c r="Y9" s="7"/>
    </row>
    <row r="10" spans="2:25" ht="12.75">
      <c r="B10" s="45"/>
      <c r="C10" s="46"/>
      <c r="D10" s="46"/>
      <c r="E10" s="46"/>
      <c r="F10" s="6"/>
      <c r="G10" s="6"/>
      <c r="H10" s="7"/>
      <c r="I10" s="7"/>
      <c r="J10" s="7"/>
      <c r="K10" s="7"/>
      <c r="L10" s="12" t="s">
        <v>34</v>
      </c>
      <c r="M10" s="13">
        <v>135</v>
      </c>
      <c r="N10" s="14">
        <f>M10*0.6</f>
        <v>81.00000000000001</v>
      </c>
      <c r="O10" s="15">
        <f>N10*$E$24*0.8*0.9</f>
        <v>6998.4000000000015</v>
      </c>
      <c r="P10" s="16">
        <f>$D$48</f>
        <v>4866.666666666667</v>
      </c>
      <c r="Q10" s="16">
        <f>$D$49</f>
        <v>8616.666666666668</v>
      </c>
      <c r="R10" s="17">
        <f>P10+Q10</f>
        <v>13483.333333333336</v>
      </c>
      <c r="S10" s="34">
        <f>O10-P10-Q10</f>
        <v>-6484.933333333333</v>
      </c>
      <c r="T10" s="37" t="s">
        <v>27</v>
      </c>
      <c r="U10" s="47">
        <f>O10</f>
        <v>6998.4000000000015</v>
      </c>
      <c r="V10" s="7"/>
      <c r="W10" s="7"/>
      <c r="X10" s="7"/>
      <c r="Y10" s="7"/>
    </row>
    <row r="11" spans="2:25" ht="12.75">
      <c r="B11" s="48" t="s">
        <v>35</v>
      </c>
      <c r="C11" s="21"/>
      <c r="D11" s="49" t="s">
        <v>36</v>
      </c>
      <c r="E11" s="21" t="s">
        <v>37</v>
      </c>
      <c r="F11" s="50" t="s">
        <v>16</v>
      </c>
      <c r="G11" s="6"/>
      <c r="H11" s="7"/>
      <c r="I11" s="7"/>
      <c r="J11" s="7"/>
      <c r="K11" s="7"/>
      <c r="L11" s="24" t="s">
        <v>38</v>
      </c>
      <c r="M11" s="13">
        <v>180</v>
      </c>
      <c r="N11" s="14">
        <f>M11*0.6</f>
        <v>108.00000000000001</v>
      </c>
      <c r="O11" s="15">
        <f>N11*$E$24*0.8*0.9</f>
        <v>9331.200000000003</v>
      </c>
      <c r="P11" s="16">
        <f>$D$48</f>
        <v>4866.666666666667</v>
      </c>
      <c r="Q11" s="17">
        <v>0</v>
      </c>
      <c r="R11" s="17">
        <f>P11+Q11</f>
        <v>4866.666666666667</v>
      </c>
      <c r="S11" s="18">
        <f>O11-P11-Q11</f>
        <v>4464.533333333336</v>
      </c>
      <c r="T11" s="19" t="s">
        <v>39</v>
      </c>
      <c r="U11" s="18">
        <f>R11</f>
        <v>4866.666666666667</v>
      </c>
      <c r="V11" s="7"/>
      <c r="W11" s="7"/>
      <c r="X11" s="7"/>
      <c r="Y11" s="7"/>
    </row>
    <row r="12" spans="2:25" ht="12.75">
      <c r="B12" s="51"/>
      <c r="C12" s="26"/>
      <c r="D12" s="52" t="s">
        <v>40</v>
      </c>
      <c r="E12" s="26" t="s">
        <v>41</v>
      </c>
      <c r="F12" s="53" t="s">
        <v>42</v>
      </c>
      <c r="G12" s="6"/>
      <c r="H12" s="7"/>
      <c r="I12" s="7"/>
      <c r="J12" s="7"/>
      <c r="K12" s="7"/>
      <c r="L12" s="12" t="s">
        <v>43</v>
      </c>
      <c r="M12" s="13">
        <v>150</v>
      </c>
      <c r="N12" s="14">
        <f>M12*0.6</f>
        <v>90.00000000000001</v>
      </c>
      <c r="O12" s="15">
        <f>N12*$E$24*0.8*0.9</f>
        <v>7776.000000000002</v>
      </c>
      <c r="P12" s="16">
        <f>$D$48</f>
        <v>4866.666666666667</v>
      </c>
      <c r="Q12" s="17">
        <v>0</v>
      </c>
      <c r="R12" s="17">
        <f>P12+Q12</f>
        <v>4866.666666666667</v>
      </c>
      <c r="S12" s="18">
        <f>O12-P12-Q12</f>
        <v>2909.333333333335</v>
      </c>
      <c r="T12" s="19">
        <f>S12+T11</f>
        <v>2909.333333333335</v>
      </c>
      <c r="U12" s="18">
        <f>R12</f>
        <v>4866.666666666667</v>
      </c>
      <c r="V12" s="7"/>
      <c r="W12" s="7"/>
      <c r="X12" s="7"/>
      <c r="Y12" s="7"/>
    </row>
    <row r="13" spans="2:25" ht="12.75">
      <c r="B13" s="54" t="s">
        <v>44</v>
      </c>
      <c r="C13" s="55"/>
      <c r="D13" s="31">
        <v>60</v>
      </c>
      <c r="E13" s="36"/>
      <c r="F13" s="56">
        <f>D13*E13</f>
        <v>0</v>
      </c>
      <c r="G13" s="6"/>
      <c r="H13" s="7"/>
      <c r="I13" s="7"/>
      <c r="J13" s="7"/>
      <c r="K13" s="7"/>
      <c r="L13" s="57" t="s">
        <v>45</v>
      </c>
      <c r="M13" s="58">
        <v>210</v>
      </c>
      <c r="N13" s="14">
        <f>M13*0.6</f>
        <v>126.00000000000001</v>
      </c>
      <c r="O13" s="15">
        <f>N13*$E$24*0.8*0.9</f>
        <v>10886.400000000001</v>
      </c>
      <c r="P13" s="16">
        <f>$D$48</f>
        <v>4866.666666666667</v>
      </c>
      <c r="Q13" s="17">
        <v>0</v>
      </c>
      <c r="R13" s="17">
        <f>P13+Q13</f>
        <v>4866.666666666667</v>
      </c>
      <c r="S13" s="18">
        <f>O13-P13-Q13</f>
        <v>6019.7333333333345</v>
      </c>
      <c r="T13" s="19">
        <f>S13+T12</f>
        <v>8929.06666666667</v>
      </c>
      <c r="U13" s="18">
        <f>R13</f>
        <v>4866.666666666667</v>
      </c>
      <c r="V13" s="7"/>
      <c r="W13" s="7"/>
      <c r="X13" s="7"/>
      <c r="Y13" s="7"/>
    </row>
    <row r="14" spans="2:25" ht="12.75">
      <c r="B14" s="54" t="s">
        <v>46</v>
      </c>
      <c r="C14" s="55"/>
      <c r="D14" s="31">
        <v>300</v>
      </c>
      <c r="E14" s="36"/>
      <c r="F14" s="56">
        <f>D14*E14</f>
        <v>0</v>
      </c>
      <c r="G14" s="6"/>
      <c r="H14" s="7"/>
      <c r="I14" s="7"/>
      <c r="J14" s="7"/>
      <c r="K14" s="7"/>
      <c r="L14" s="7"/>
      <c r="M14" s="7"/>
      <c r="N14" s="59">
        <f>SUM(N2:N13)</f>
        <v>900.0000000000001</v>
      </c>
      <c r="O14" s="60">
        <f>SUM(O2:O13)</f>
        <v>77760.00000000001</v>
      </c>
      <c r="P14" s="61">
        <f>SUM(P2:P13)</f>
        <v>58399.99999999999</v>
      </c>
      <c r="Q14" s="61">
        <f>SUM(Q2:Q13)</f>
        <v>51700.000000000015</v>
      </c>
      <c r="R14" s="62">
        <f>SUM(R2:R13)</f>
        <v>110100.00000000003</v>
      </c>
      <c r="S14" s="61">
        <f>S2+S3+S4+S11+S12+S13</f>
        <v>27564.80000000001</v>
      </c>
      <c r="T14" s="7"/>
      <c r="U14" s="63">
        <f>SUM(U2:U13)</f>
        <v>50195.2</v>
      </c>
      <c r="V14" s="7"/>
      <c r="W14" s="7"/>
      <c r="X14" s="7"/>
      <c r="Y14" s="7"/>
    </row>
    <row r="15" spans="2:25" ht="12.75">
      <c r="B15" s="54" t="s">
        <v>47</v>
      </c>
      <c r="C15" s="55"/>
      <c r="D15" s="31">
        <v>450</v>
      </c>
      <c r="E15" s="36">
        <v>50</v>
      </c>
      <c r="F15" s="56">
        <f>D15*E15</f>
        <v>22500</v>
      </c>
      <c r="G15" s="6"/>
      <c r="H15" s="7"/>
      <c r="I15" s="7"/>
      <c r="J15" s="7"/>
      <c r="K15" s="7"/>
      <c r="L15" s="7"/>
      <c r="M15" s="7"/>
      <c r="N15" s="59"/>
      <c r="O15" s="7"/>
      <c r="P15" s="7"/>
      <c r="Q15" s="7"/>
      <c r="R15" s="7"/>
      <c r="S15" s="64" t="s">
        <v>48</v>
      </c>
      <c r="T15" s="7"/>
      <c r="U15" s="7"/>
      <c r="V15" s="7"/>
      <c r="W15" s="7"/>
      <c r="X15" s="7"/>
      <c r="Y15" s="7"/>
    </row>
    <row r="16" spans="2:25" ht="12.75">
      <c r="B16" s="54" t="s">
        <v>49</v>
      </c>
      <c r="C16" s="55"/>
      <c r="D16" s="31">
        <v>250</v>
      </c>
      <c r="E16" s="36"/>
      <c r="F16" s="56">
        <f>D16*E16</f>
        <v>0</v>
      </c>
      <c r="G16" s="6"/>
      <c r="H16" s="7"/>
      <c r="I16" s="7"/>
      <c r="J16" s="7"/>
      <c r="K16" s="7"/>
      <c r="L16" s="7"/>
      <c r="M16" s="7"/>
      <c r="N16" s="59"/>
      <c r="O16" s="7"/>
      <c r="P16" s="7"/>
      <c r="Q16" s="7"/>
      <c r="R16" s="7"/>
      <c r="S16" s="64" t="s">
        <v>50</v>
      </c>
      <c r="T16" s="7"/>
      <c r="U16" s="7"/>
      <c r="V16" s="7"/>
      <c r="W16" s="7"/>
      <c r="X16" s="7"/>
      <c r="Y16" s="7"/>
    </row>
    <row r="17" spans="2:25" ht="12.75">
      <c r="B17" s="54" t="s">
        <v>30</v>
      </c>
      <c r="C17" s="55"/>
      <c r="D17" s="31"/>
      <c r="E17" s="36"/>
      <c r="F17" s="56">
        <f>D17*E17</f>
        <v>0</v>
      </c>
      <c r="G17" s="6"/>
      <c r="H17" s="7"/>
      <c r="I17" s="7"/>
      <c r="J17" s="7"/>
      <c r="K17" s="7"/>
      <c r="L17" s="7"/>
      <c r="M17" s="7"/>
      <c r="N17" s="59"/>
      <c r="O17" s="65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2:25" ht="12.75">
      <c r="B18" s="41" t="s">
        <v>52</v>
      </c>
      <c r="C18" s="41"/>
      <c r="D18" s="41"/>
      <c r="E18" s="41"/>
      <c r="F18" s="67">
        <f>F13+F14+F15+F16+F17</f>
        <v>22500</v>
      </c>
      <c r="G18" s="6"/>
      <c r="H18" s="7"/>
      <c r="I18" s="7"/>
      <c r="J18" s="7"/>
      <c r="K18" s="7"/>
      <c r="L18" s="7"/>
      <c r="M18" s="7"/>
      <c r="N18" s="5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2:25" ht="76.5" customHeight="1">
      <c r="B19" s="69" t="s">
        <v>53</v>
      </c>
      <c r="C19" s="70"/>
      <c r="D19" s="70"/>
      <c r="E19" s="70"/>
      <c r="F19" s="71">
        <f>F18+F9</f>
        <v>80900</v>
      </c>
      <c r="G19" s="6"/>
      <c r="H19" s="7"/>
      <c r="I19" s="7"/>
      <c r="J19" s="7"/>
      <c r="K19" s="7"/>
      <c r="L19" s="8" t="s">
        <v>1</v>
      </c>
      <c r="M19" s="9" t="s">
        <v>2</v>
      </c>
      <c r="N19" s="10" t="s">
        <v>3</v>
      </c>
      <c r="O19" s="10" t="s">
        <v>4</v>
      </c>
      <c r="P19" s="10" t="s">
        <v>5</v>
      </c>
      <c r="Q19" s="10" t="s">
        <v>6</v>
      </c>
      <c r="R19" s="10" t="s">
        <v>7</v>
      </c>
      <c r="S19" s="10" t="s">
        <v>8</v>
      </c>
      <c r="T19" s="10" t="s">
        <v>54</v>
      </c>
      <c r="U19" s="10" t="s">
        <v>10</v>
      </c>
      <c r="V19" s="10" t="s">
        <v>118</v>
      </c>
      <c r="W19" s="72"/>
      <c r="X19" s="7"/>
      <c r="Y19" s="7"/>
    </row>
    <row r="20" spans="2:25" ht="12.75">
      <c r="B20" s="73"/>
      <c r="C20" s="73"/>
      <c r="D20" s="73"/>
      <c r="E20" s="73"/>
      <c r="F20" s="74"/>
      <c r="G20" s="6"/>
      <c r="H20" s="7"/>
      <c r="I20" s="7"/>
      <c r="J20" s="7"/>
      <c r="K20" s="7"/>
      <c r="L20" s="12" t="s">
        <v>11</v>
      </c>
      <c r="M20" s="13">
        <v>195</v>
      </c>
      <c r="N20" s="14">
        <f>M20*0.6</f>
        <v>117.00000000000001</v>
      </c>
      <c r="O20" s="15">
        <f>N20*$E$24*0.8*0.9</f>
        <v>10108.800000000001</v>
      </c>
      <c r="P20" s="16">
        <f>$D$48</f>
        <v>4866.666666666667</v>
      </c>
      <c r="Q20" s="17">
        <v>0</v>
      </c>
      <c r="R20" s="16">
        <f>P20+Q20</f>
        <v>4866.666666666667</v>
      </c>
      <c r="S20" s="18">
        <f>O20-P20-Q20</f>
        <v>5242.133333333334</v>
      </c>
      <c r="T20" s="19">
        <f>S20</f>
        <v>5242.133333333334</v>
      </c>
      <c r="U20" s="18">
        <f>R20</f>
        <v>4866.666666666667</v>
      </c>
      <c r="V20" s="14">
        <f>U20</f>
        <v>4866.666666666667</v>
      </c>
      <c r="W20" s="59"/>
      <c r="X20" s="7"/>
      <c r="Y20" s="7"/>
    </row>
    <row r="21" spans="2:25" ht="12.75">
      <c r="B21" s="75" t="s">
        <v>56</v>
      </c>
      <c r="C21" s="76"/>
      <c r="D21" s="76"/>
      <c r="E21" s="76"/>
      <c r="F21" s="77"/>
      <c r="G21" s="6"/>
      <c r="H21" s="7"/>
      <c r="I21" s="7"/>
      <c r="J21" s="7"/>
      <c r="K21" s="7"/>
      <c r="L21" s="24" t="s">
        <v>17</v>
      </c>
      <c r="M21" s="13">
        <v>225</v>
      </c>
      <c r="N21" s="14">
        <f>M21*0.6</f>
        <v>135.00000000000003</v>
      </c>
      <c r="O21" s="15">
        <f>N21*$E$24*0.8*0.9</f>
        <v>11664.000000000004</v>
      </c>
      <c r="P21" s="16">
        <f>$D$48</f>
        <v>4866.666666666667</v>
      </c>
      <c r="Q21" s="17">
        <v>0</v>
      </c>
      <c r="R21" s="16">
        <f>P21+Q21</f>
        <v>4866.666666666667</v>
      </c>
      <c r="S21" s="18">
        <f>O21-P21-Q21</f>
        <v>6797.333333333337</v>
      </c>
      <c r="T21" s="19">
        <f>S21+T20</f>
        <v>12039.46666666667</v>
      </c>
      <c r="U21" s="18">
        <f>R21</f>
        <v>4866.666666666667</v>
      </c>
      <c r="V21" s="14">
        <f>U21</f>
        <v>4866.666666666667</v>
      </c>
      <c r="W21" s="7"/>
      <c r="X21" s="7"/>
      <c r="Y21" s="7"/>
    </row>
    <row r="22" spans="2:25" ht="12.75">
      <c r="B22" s="78" t="s">
        <v>57</v>
      </c>
      <c r="C22" s="79" t="s">
        <v>58</v>
      </c>
      <c r="D22" s="79" t="s">
        <v>59</v>
      </c>
      <c r="E22" s="79" t="s">
        <v>60</v>
      </c>
      <c r="F22" s="78" t="s">
        <v>57</v>
      </c>
      <c r="G22" s="6"/>
      <c r="H22" s="7"/>
      <c r="I22" s="7"/>
      <c r="J22" s="7"/>
      <c r="K22" s="7"/>
      <c r="L22" s="12" t="s">
        <v>22</v>
      </c>
      <c r="M22" s="13">
        <v>135</v>
      </c>
      <c r="N22" s="14">
        <f>M22*0.6</f>
        <v>81.00000000000001</v>
      </c>
      <c r="O22" s="15">
        <f>N22*$E$24*0.8*0.9</f>
        <v>6998.4000000000015</v>
      </c>
      <c r="P22" s="16">
        <f>$D$48</f>
        <v>4866.666666666667</v>
      </c>
      <c r="Q22" s="17">
        <v>0</v>
      </c>
      <c r="R22" s="16">
        <f>P22+Q22</f>
        <v>4866.666666666667</v>
      </c>
      <c r="S22" s="18">
        <f>O22-P22-Q22</f>
        <v>2131.7333333333345</v>
      </c>
      <c r="T22" s="19">
        <f>S22+T21</f>
        <v>14171.200000000004</v>
      </c>
      <c r="U22" s="18">
        <f>R22</f>
        <v>4866.666666666667</v>
      </c>
      <c r="V22" s="14">
        <f>U22</f>
        <v>4866.666666666667</v>
      </c>
      <c r="W22" s="7"/>
      <c r="X22" s="7"/>
      <c r="Y22" s="7"/>
    </row>
    <row r="23" spans="2:25" ht="12.75">
      <c r="B23" s="80"/>
      <c r="C23" s="81" t="s">
        <v>61</v>
      </c>
      <c r="D23" s="81" t="s">
        <v>62</v>
      </c>
      <c r="E23" s="81" t="s">
        <v>63</v>
      </c>
      <c r="F23" s="80" t="s">
        <v>64</v>
      </c>
      <c r="G23" s="6"/>
      <c r="H23" s="7"/>
      <c r="I23" s="7"/>
      <c r="J23" s="7"/>
      <c r="K23" s="7"/>
      <c r="L23" s="24" t="s">
        <v>24</v>
      </c>
      <c r="M23" s="13">
        <v>75</v>
      </c>
      <c r="N23" s="14">
        <f>M23*0.6</f>
        <v>45.00000000000001</v>
      </c>
      <c r="O23" s="15">
        <f>N23*$E$24*0.8*0.9</f>
        <v>3888.000000000001</v>
      </c>
      <c r="P23" s="16">
        <f>$D$48</f>
        <v>4866.666666666667</v>
      </c>
      <c r="Q23" s="17">
        <v>0</v>
      </c>
      <c r="R23" s="16">
        <f>P23+Q23</f>
        <v>4866.666666666667</v>
      </c>
      <c r="S23" s="16">
        <f>O23-P23-Q23</f>
        <v>-978.6666666666661</v>
      </c>
      <c r="T23" s="19">
        <f>T22+S23</f>
        <v>13192.533333333338</v>
      </c>
      <c r="U23" s="18">
        <f>O23</f>
        <v>3888.000000000001</v>
      </c>
      <c r="V23" s="14">
        <f>V22+S23</f>
        <v>3888.000000000001</v>
      </c>
      <c r="W23" s="59"/>
      <c r="X23" s="7"/>
      <c r="Y23" s="7"/>
    </row>
    <row r="24" spans="2:25" ht="12.75">
      <c r="B24" s="82" t="s">
        <v>65</v>
      </c>
      <c r="C24" s="30">
        <v>0.8</v>
      </c>
      <c r="D24" s="36">
        <v>900</v>
      </c>
      <c r="E24" s="31">
        <v>120</v>
      </c>
      <c r="F24" s="83">
        <f>D24*E24*C24*0.9</f>
        <v>77760</v>
      </c>
      <c r="G24" s="6"/>
      <c r="H24" s="7"/>
      <c r="I24" s="7"/>
      <c r="J24" s="7"/>
      <c r="K24" s="7"/>
      <c r="L24" s="12" t="s">
        <v>26</v>
      </c>
      <c r="M24" s="13">
        <v>75</v>
      </c>
      <c r="N24" s="14">
        <f>M24*0.6</f>
        <v>45.00000000000001</v>
      </c>
      <c r="O24" s="15">
        <f>N24*$E$24*0.8*0.9</f>
        <v>3888.000000000001</v>
      </c>
      <c r="P24" s="16">
        <f>$D$48</f>
        <v>4866.666666666667</v>
      </c>
      <c r="Q24" s="17">
        <v>0</v>
      </c>
      <c r="R24" s="16">
        <f>P24+Q24</f>
        <v>4866.666666666667</v>
      </c>
      <c r="S24" s="16">
        <f>O24-P24-Q24</f>
        <v>-978.6666666666661</v>
      </c>
      <c r="T24" s="19">
        <f>T23+S24</f>
        <v>12213.866666666672</v>
      </c>
      <c r="U24" s="18">
        <f>O24</f>
        <v>3888.000000000001</v>
      </c>
      <c r="V24" s="14">
        <f>V23+S24</f>
        <v>2909.333333333335</v>
      </c>
      <c r="W24" s="59"/>
      <c r="X24" s="7"/>
      <c r="Y24" s="7"/>
    </row>
    <row r="25" spans="2:25" ht="12.75">
      <c r="B25" s="82" t="s">
        <v>66</v>
      </c>
      <c r="C25" s="30">
        <v>0.7</v>
      </c>
      <c r="D25" s="36"/>
      <c r="E25" s="31"/>
      <c r="F25" s="83">
        <f>D25*E25*C25*0.9</f>
        <v>0</v>
      </c>
      <c r="G25" s="6"/>
      <c r="H25" s="7"/>
      <c r="I25" s="7"/>
      <c r="J25" s="7"/>
      <c r="K25" s="7"/>
      <c r="L25" s="24" t="s">
        <v>29</v>
      </c>
      <c r="M25" s="13">
        <v>60</v>
      </c>
      <c r="N25" s="14">
        <f>M25*0.6</f>
        <v>36.00000000000001</v>
      </c>
      <c r="O25" s="15">
        <f>N25*$E$24*0.8*0.9</f>
        <v>3110.400000000001</v>
      </c>
      <c r="P25" s="16">
        <f>$D$48</f>
        <v>4866.666666666667</v>
      </c>
      <c r="Q25" s="17">
        <v>0</v>
      </c>
      <c r="R25" s="16">
        <f>P25+Q25</f>
        <v>4866.666666666667</v>
      </c>
      <c r="S25" s="16">
        <f>O25-P25-Q25</f>
        <v>-1756.266666666666</v>
      </c>
      <c r="T25" s="19">
        <f>T24+S25</f>
        <v>10457.600000000006</v>
      </c>
      <c r="U25" s="18">
        <f>O25</f>
        <v>3110.400000000001</v>
      </c>
      <c r="V25" s="14">
        <f>V24+S25</f>
        <v>1153.0666666666689</v>
      </c>
      <c r="W25" s="59"/>
      <c r="X25" s="7"/>
      <c r="Y25" s="7"/>
    </row>
    <row r="26" spans="2:25" ht="12.75">
      <c r="B26" s="82" t="s">
        <v>67</v>
      </c>
      <c r="C26" s="30">
        <v>0.6</v>
      </c>
      <c r="D26" s="36"/>
      <c r="E26" s="31"/>
      <c r="F26" s="83">
        <f>D26*E26*C26*0.9</f>
        <v>0</v>
      </c>
      <c r="G26" s="6"/>
      <c r="H26" s="7"/>
      <c r="I26" s="7"/>
      <c r="J26" s="7"/>
      <c r="K26" s="7"/>
      <c r="L26" s="12" t="s">
        <v>31</v>
      </c>
      <c r="M26" s="13">
        <v>15</v>
      </c>
      <c r="N26" s="14">
        <f>M26*0.6</f>
        <v>9.000000000000002</v>
      </c>
      <c r="O26" s="15">
        <f>N26*$E$24*0.8*0.9</f>
        <v>777.6000000000003</v>
      </c>
      <c r="P26" s="16">
        <f>$D$48</f>
        <v>4866.666666666667</v>
      </c>
      <c r="Q26" s="17">
        <v>0</v>
      </c>
      <c r="R26" s="16">
        <f>P26+Q26</f>
        <v>4866.666666666667</v>
      </c>
      <c r="S26" s="16">
        <f>O26-P26-Q26</f>
        <v>-4089.0666666666666</v>
      </c>
      <c r="T26" s="19">
        <f>T25+S26</f>
        <v>6368.533333333339</v>
      </c>
      <c r="U26" s="18">
        <f>O26</f>
        <v>777.6000000000003</v>
      </c>
      <c r="V26" s="157">
        <f>V25+S26</f>
        <v>-2935.9999999999977</v>
      </c>
      <c r="W26" s="59"/>
      <c r="X26" s="7"/>
      <c r="Y26" s="7"/>
    </row>
    <row r="27" spans="2:25" ht="12.75">
      <c r="B27" s="82" t="s">
        <v>68</v>
      </c>
      <c r="C27" s="30">
        <v>0.3</v>
      </c>
      <c r="D27" s="36"/>
      <c r="E27" s="31"/>
      <c r="F27" s="83">
        <f>D27*E27*C27*0.9</f>
        <v>0</v>
      </c>
      <c r="G27" s="6"/>
      <c r="H27" s="7"/>
      <c r="I27" s="7"/>
      <c r="J27" s="7"/>
      <c r="K27" s="7"/>
      <c r="L27" s="24" t="s">
        <v>33</v>
      </c>
      <c r="M27" s="13">
        <v>45</v>
      </c>
      <c r="N27" s="14">
        <f>M27*0.6</f>
        <v>27.000000000000004</v>
      </c>
      <c r="O27" s="15">
        <f>N27*$E$24*0.8*0.9</f>
        <v>2332.8000000000006</v>
      </c>
      <c r="P27" s="16">
        <f>$D$48</f>
        <v>4866.666666666667</v>
      </c>
      <c r="Q27" s="17">
        <v>0</v>
      </c>
      <c r="R27" s="16">
        <f>P27+Q27</f>
        <v>4866.666666666667</v>
      </c>
      <c r="S27" s="16">
        <f>O27-P27-Q27</f>
        <v>-2533.8666666666663</v>
      </c>
      <c r="T27" s="19">
        <f>T26+S27</f>
        <v>3834.666666666673</v>
      </c>
      <c r="U27" s="18">
        <f>O27</f>
        <v>2332.8000000000006</v>
      </c>
      <c r="V27" s="157">
        <f>V26+S27</f>
        <v>-5469.866666666664</v>
      </c>
      <c r="W27" s="59"/>
      <c r="X27" s="7"/>
      <c r="Y27" s="7"/>
    </row>
    <row r="28" spans="2:25" ht="12.75">
      <c r="B28" s="82" t="s">
        <v>69</v>
      </c>
      <c r="C28" s="30">
        <v>0.5</v>
      </c>
      <c r="D28" s="36"/>
      <c r="E28" s="31"/>
      <c r="F28" s="83">
        <f>D28*E28*C28*0.9</f>
        <v>0</v>
      </c>
      <c r="G28" s="6"/>
      <c r="H28" s="7"/>
      <c r="I28" s="7"/>
      <c r="J28" s="7"/>
      <c r="K28" s="7"/>
      <c r="L28" s="12" t="s">
        <v>34</v>
      </c>
      <c r="M28" s="13">
        <v>135</v>
      </c>
      <c r="N28" s="14">
        <f>M28*0.6</f>
        <v>81.00000000000001</v>
      </c>
      <c r="O28" s="15">
        <f>N28*$E$24*0.8*0.9</f>
        <v>6998.4000000000015</v>
      </c>
      <c r="P28" s="16">
        <f>$D$48</f>
        <v>4866.666666666667</v>
      </c>
      <c r="Q28" s="17">
        <v>0</v>
      </c>
      <c r="R28" s="16">
        <f>P28+Q28</f>
        <v>4866.666666666667</v>
      </c>
      <c r="S28" s="18">
        <f>O28-P28-Q28</f>
        <v>2131.7333333333345</v>
      </c>
      <c r="T28" s="19">
        <f>T27+S28</f>
        <v>5966.400000000007</v>
      </c>
      <c r="U28" s="18">
        <f>R28</f>
        <v>4866.666666666667</v>
      </c>
      <c r="V28" s="157">
        <f>V27+S28</f>
        <v>-3338.1333333333296</v>
      </c>
      <c r="W28" s="59"/>
      <c r="X28" s="7"/>
      <c r="Y28" s="7"/>
    </row>
    <row r="29" spans="2:25" ht="12.75">
      <c r="B29" s="82" t="s">
        <v>70</v>
      </c>
      <c r="C29" s="30">
        <v>0.5</v>
      </c>
      <c r="D29" s="36"/>
      <c r="E29" s="31"/>
      <c r="F29" s="83">
        <f>D29*E29*C29*0.9</f>
        <v>0</v>
      </c>
      <c r="G29" s="6"/>
      <c r="H29" s="7"/>
      <c r="I29" s="7"/>
      <c r="J29" s="7"/>
      <c r="K29" s="7"/>
      <c r="L29" s="24" t="s">
        <v>38</v>
      </c>
      <c r="M29" s="13">
        <v>180</v>
      </c>
      <c r="N29" s="14">
        <f>M29*0.6</f>
        <v>108.00000000000001</v>
      </c>
      <c r="O29" s="15">
        <f>N29*$E$24*0.8*0.9</f>
        <v>9331.200000000003</v>
      </c>
      <c r="P29" s="16">
        <f>$D$48</f>
        <v>4866.666666666667</v>
      </c>
      <c r="Q29" s="17">
        <v>0</v>
      </c>
      <c r="R29" s="16">
        <f>P29+Q29</f>
        <v>4866.666666666667</v>
      </c>
      <c r="S29" s="18">
        <f>O29-P29-Q29</f>
        <v>4464.533333333336</v>
      </c>
      <c r="T29" s="19">
        <f>S29+T28</f>
        <v>10430.933333333342</v>
      </c>
      <c r="U29" s="18">
        <f>R29</f>
        <v>4866.666666666667</v>
      </c>
      <c r="V29" s="14">
        <f>V28+S29</f>
        <v>1126.400000000006</v>
      </c>
      <c r="W29" s="59"/>
      <c r="X29" s="7"/>
      <c r="Y29" s="7"/>
    </row>
    <row r="30" spans="2:25" ht="12.75">
      <c r="B30" s="84" t="s">
        <v>71</v>
      </c>
      <c r="C30" s="85">
        <v>0.3</v>
      </c>
      <c r="D30" s="86"/>
      <c r="E30" s="87"/>
      <c r="F30" s="83">
        <f>D30*E30*C30*0.9</f>
        <v>0</v>
      </c>
      <c r="G30" s="6"/>
      <c r="H30" s="7"/>
      <c r="I30" s="7"/>
      <c r="J30" s="7"/>
      <c r="K30" s="7"/>
      <c r="L30" s="12" t="s">
        <v>43</v>
      </c>
      <c r="M30" s="13">
        <v>150</v>
      </c>
      <c r="N30" s="14">
        <f>M30*0.6</f>
        <v>90.00000000000001</v>
      </c>
      <c r="O30" s="15">
        <f>N30*$E$24*0.8*0.9</f>
        <v>7776.000000000002</v>
      </c>
      <c r="P30" s="16">
        <f>$D$48</f>
        <v>4866.666666666667</v>
      </c>
      <c r="Q30" s="17">
        <v>0</v>
      </c>
      <c r="R30" s="16">
        <f>P30+Q30</f>
        <v>4866.666666666667</v>
      </c>
      <c r="S30" s="18">
        <f>O30-P30-Q30</f>
        <v>2909.333333333335</v>
      </c>
      <c r="T30" s="19">
        <f>S30+T29</f>
        <v>13340.266666666677</v>
      </c>
      <c r="U30" s="18">
        <f>R30</f>
        <v>4866.666666666667</v>
      </c>
      <c r="V30" s="14">
        <f>V29+S30</f>
        <v>4035.733333333341</v>
      </c>
      <c r="W30" s="59"/>
      <c r="X30" s="7"/>
      <c r="Y30" s="7"/>
    </row>
    <row r="31" spans="2:25" ht="12.75">
      <c r="B31" s="88" t="s">
        <v>72</v>
      </c>
      <c r="C31" s="89"/>
      <c r="D31" s="89"/>
      <c r="E31" s="89"/>
      <c r="F31" s="90">
        <f>SUM(F24:F30)</f>
        <v>77760</v>
      </c>
      <c r="G31" s="6"/>
      <c r="H31" s="7"/>
      <c r="I31" s="7"/>
      <c r="J31" s="7"/>
      <c r="K31" s="7"/>
      <c r="L31" s="57" t="s">
        <v>45</v>
      </c>
      <c r="M31" s="58">
        <v>210</v>
      </c>
      <c r="N31" s="14">
        <f>M31*0.6</f>
        <v>126.00000000000001</v>
      </c>
      <c r="O31" s="15">
        <f>N31*$E$24*0.8*0.9</f>
        <v>10886.400000000001</v>
      </c>
      <c r="P31" s="16">
        <f>$D$48</f>
        <v>4866.666666666667</v>
      </c>
      <c r="Q31" s="17">
        <v>0</v>
      </c>
      <c r="R31" s="16">
        <f>P31+Q31</f>
        <v>4866.666666666667</v>
      </c>
      <c r="S31" s="18">
        <f>O31-P31-Q31</f>
        <v>6019.7333333333345</v>
      </c>
      <c r="T31" s="19">
        <f>S31+T30</f>
        <v>19360.00000000001</v>
      </c>
      <c r="U31" s="18">
        <f>R31</f>
        <v>4866.666666666667</v>
      </c>
      <c r="V31" s="14">
        <f>4867</f>
        <v>4867</v>
      </c>
      <c r="W31" s="59"/>
      <c r="X31" s="7"/>
      <c r="Y31" s="7"/>
    </row>
    <row r="32" spans="2:25" ht="12.75">
      <c r="B32" s="91"/>
      <c r="C32" s="92"/>
      <c r="D32" s="92"/>
      <c r="E32" s="92"/>
      <c r="F32" s="93"/>
      <c r="G32" s="6"/>
      <c r="H32" s="7"/>
      <c r="I32" s="7"/>
      <c r="J32" s="7"/>
      <c r="K32" s="7"/>
      <c r="L32" s="7"/>
      <c r="M32" s="7"/>
      <c r="N32" s="59">
        <f>SUM(N20:N31)</f>
        <v>900.0000000000001</v>
      </c>
      <c r="O32" s="60">
        <f>SUM(O20:O31)</f>
        <v>77760.00000000001</v>
      </c>
      <c r="P32" s="61">
        <f>SUM(P20:P31)</f>
        <v>58399.99999999999</v>
      </c>
      <c r="Q32" s="61">
        <f>SUM(Q20:Q31)</f>
        <v>0</v>
      </c>
      <c r="R32" s="62">
        <f>SUM(R20:R31)</f>
        <v>58399.99999999999</v>
      </c>
      <c r="S32" s="61">
        <f>S20+S21+S22+S28+S29+S30+S31</f>
        <v>29696.533333333344</v>
      </c>
      <c r="T32" s="7"/>
      <c r="U32" s="63">
        <f>SUM(U20:U31)</f>
        <v>48063.46666666666</v>
      </c>
      <c r="V32" s="7"/>
      <c r="W32" s="7"/>
      <c r="X32" s="7"/>
      <c r="Y32" s="7"/>
    </row>
    <row r="33" spans="2:25" ht="12.75">
      <c r="B33" s="94" t="s">
        <v>73</v>
      </c>
      <c r="C33" s="95"/>
      <c r="D33" s="95"/>
      <c r="E33" s="95"/>
      <c r="F33" s="96"/>
      <c r="G33" s="6"/>
      <c r="H33" s="7"/>
      <c r="I33" s="7"/>
      <c r="J33" s="7"/>
      <c r="K33" s="7"/>
      <c r="L33" s="7"/>
      <c r="M33" s="7"/>
      <c r="N33" s="59"/>
      <c r="O33" s="7"/>
      <c r="P33" s="7"/>
      <c r="Q33" s="7"/>
      <c r="R33" s="7"/>
      <c r="S33" s="64" t="s">
        <v>48</v>
      </c>
      <c r="T33" s="7">
        <f>SUM(S23:S27)</f>
        <v>-10336.533333333331</v>
      </c>
      <c r="U33" s="7"/>
      <c r="V33" s="7"/>
      <c r="W33" s="7"/>
      <c r="X33" s="7"/>
      <c r="Y33" s="7"/>
    </row>
    <row r="34" spans="2:25" ht="12.75">
      <c r="B34" s="97" t="s">
        <v>74</v>
      </c>
      <c r="C34" s="97" t="s">
        <v>75</v>
      </c>
      <c r="D34" s="97" t="s">
        <v>76</v>
      </c>
      <c r="E34" s="97" t="s">
        <v>77</v>
      </c>
      <c r="F34" s="78" t="s">
        <v>78</v>
      </c>
      <c r="G34" s="6"/>
      <c r="H34" s="7"/>
      <c r="I34" s="7"/>
      <c r="J34" s="7"/>
      <c r="K34" s="7"/>
      <c r="L34" s="7"/>
      <c r="M34" s="7"/>
      <c r="N34" s="59"/>
      <c r="O34" s="7"/>
      <c r="P34" s="7"/>
      <c r="Q34" s="7"/>
      <c r="R34" s="7"/>
      <c r="S34" s="64" t="s">
        <v>50</v>
      </c>
      <c r="T34" s="7"/>
      <c r="U34" s="7"/>
      <c r="V34" s="7"/>
      <c r="W34" s="7"/>
      <c r="X34" s="7"/>
      <c r="Y34" s="7"/>
    </row>
    <row r="35" spans="2:25" ht="12.75">
      <c r="B35" s="98"/>
      <c r="C35" s="98" t="s">
        <v>80</v>
      </c>
      <c r="D35" s="98" t="s">
        <v>81</v>
      </c>
      <c r="E35" s="98" t="s">
        <v>82</v>
      </c>
      <c r="F35" s="80"/>
      <c r="G35" s="6"/>
      <c r="H35" s="7"/>
      <c r="I35" s="7"/>
      <c r="J35" s="7"/>
      <c r="K35" s="7"/>
      <c r="L35" s="7"/>
      <c r="M35" s="7"/>
      <c r="N35" s="59"/>
      <c r="O35" s="7"/>
      <c r="P35" s="7"/>
      <c r="Q35" s="7"/>
      <c r="R35" s="7"/>
      <c r="S35" s="64"/>
      <c r="T35" s="7"/>
      <c r="U35" s="7"/>
      <c r="V35" s="7"/>
      <c r="W35" s="7"/>
      <c r="X35" s="7"/>
      <c r="Y35" s="7"/>
    </row>
    <row r="36" spans="2:25" ht="12.75">
      <c r="B36" s="99" t="s">
        <v>84</v>
      </c>
      <c r="C36" s="30">
        <v>15</v>
      </c>
      <c r="D36" s="30">
        <v>4</v>
      </c>
      <c r="E36" s="30">
        <v>365</v>
      </c>
      <c r="F36" s="100">
        <f>C36*D36*E36</f>
        <v>21900</v>
      </c>
      <c r="G36" s="6"/>
      <c r="H36" s="7"/>
      <c r="I36" s="7"/>
      <c r="J36" s="7"/>
      <c r="K36" s="7"/>
      <c r="L36" s="7"/>
      <c r="M36" s="7"/>
      <c r="N36" s="59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 ht="12.75">
      <c r="B37" s="99" t="s">
        <v>85</v>
      </c>
      <c r="C37" s="30">
        <v>60</v>
      </c>
      <c r="D37" s="30">
        <v>4</v>
      </c>
      <c r="E37" s="30">
        <v>365</v>
      </c>
      <c r="F37" s="100">
        <f>C37*D37*E37</f>
        <v>87600</v>
      </c>
      <c r="G37" s="6"/>
      <c r="H37" s="7"/>
      <c r="I37" s="7"/>
      <c r="J37" s="7"/>
      <c r="K37" s="7"/>
      <c r="L37" s="7"/>
      <c r="M37" s="7"/>
      <c r="N37" s="5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 ht="12.75">
      <c r="B38" s="99" t="s">
        <v>86</v>
      </c>
      <c r="C38" s="30">
        <v>150</v>
      </c>
      <c r="D38" s="30">
        <v>4</v>
      </c>
      <c r="E38" s="30">
        <v>12</v>
      </c>
      <c r="F38" s="100">
        <f>C38*D38*E38</f>
        <v>7200</v>
      </c>
      <c r="G38" s="6"/>
      <c r="H38" s="7"/>
      <c r="I38" s="7"/>
      <c r="J38" s="7"/>
      <c r="K38" s="7"/>
      <c r="L38" s="7"/>
      <c r="M38" s="7"/>
      <c r="N38" s="59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 ht="12.75">
      <c r="B39" s="101" t="s">
        <v>87</v>
      </c>
      <c r="C39" s="102"/>
      <c r="D39" s="102"/>
      <c r="E39" s="102"/>
      <c r="F39" s="103">
        <f>SUM(F36:F38)</f>
        <v>116700</v>
      </c>
      <c r="G39" s="6"/>
      <c r="H39" s="7"/>
      <c r="I39" s="7"/>
      <c r="J39" s="7"/>
      <c r="K39" s="7"/>
      <c r="L39" s="7"/>
      <c r="M39" s="7"/>
      <c r="N39" s="59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ht="12.75">
      <c r="B40" s="104"/>
      <c r="C40" s="92"/>
      <c r="D40" s="92"/>
      <c r="E40" s="92"/>
      <c r="F40" s="104"/>
      <c r="G40" s="6"/>
      <c r="H40" s="7"/>
      <c r="I40" s="7"/>
      <c r="J40" s="7"/>
      <c r="K40" s="7"/>
      <c r="L40" s="7"/>
      <c r="M40" s="7"/>
      <c r="N40" s="59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ht="12.75">
      <c r="B41" s="48" t="s">
        <v>88</v>
      </c>
      <c r="C41" s="21" t="s">
        <v>89</v>
      </c>
      <c r="D41" s="105" t="s">
        <v>90</v>
      </c>
      <c r="E41" s="106" t="s">
        <v>91</v>
      </c>
      <c r="F41" s="104"/>
      <c r="G41" s="6"/>
      <c r="H41" s="7"/>
      <c r="I41" s="7"/>
      <c r="J41" s="7"/>
      <c r="K41" s="7"/>
      <c r="L41" s="7"/>
      <c r="M41" s="7"/>
      <c r="N41" s="59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ht="12.75">
      <c r="B42" s="107" t="s">
        <v>92</v>
      </c>
      <c r="C42" s="108">
        <f>F9</f>
        <v>58400</v>
      </c>
      <c r="D42" s="109">
        <f>F31</f>
        <v>77760</v>
      </c>
      <c r="E42" s="103">
        <f>F39</f>
        <v>116700</v>
      </c>
      <c r="F42" s="104"/>
      <c r="G42" s="6"/>
      <c r="H42" s="7"/>
      <c r="I42" s="7"/>
      <c r="J42" s="7"/>
      <c r="K42" s="7"/>
      <c r="L42" s="7"/>
      <c r="M42" s="7"/>
      <c r="N42" s="59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5" ht="12.75">
      <c r="B43" s="104"/>
      <c r="C43" s="92"/>
      <c r="D43" s="92"/>
      <c r="E43" s="92"/>
      <c r="F43" s="104"/>
      <c r="G43" s="6"/>
      <c r="H43" s="7"/>
      <c r="I43" s="7"/>
      <c r="J43" s="7"/>
      <c r="K43" s="7"/>
      <c r="L43" s="7"/>
      <c r="M43" s="7"/>
      <c r="N43" s="59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ht="12.75">
      <c r="B44" s="104"/>
      <c r="C44" s="92"/>
      <c r="D44" s="92"/>
      <c r="E44" s="92"/>
      <c r="F44" s="104"/>
      <c r="G44" s="6"/>
      <c r="H44" s="7"/>
      <c r="I44" s="7"/>
      <c r="J44" s="7"/>
      <c r="K44" s="7"/>
      <c r="L44" s="7"/>
      <c r="M44" s="7"/>
      <c r="N44" s="59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5" ht="12.75">
      <c r="B45" s="110"/>
      <c r="C45" s="111"/>
      <c r="D45" s="112" t="s">
        <v>93</v>
      </c>
      <c r="E45" s="111"/>
      <c r="F45" s="110"/>
      <c r="G45" s="6"/>
      <c r="H45" s="7"/>
      <c r="I45" s="7"/>
      <c r="J45" s="7"/>
      <c r="K45" s="7"/>
      <c r="L45" s="7"/>
      <c r="M45" s="7"/>
      <c r="N45" s="59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5" ht="12.75">
      <c r="B46" s="113" t="s">
        <v>94</v>
      </c>
      <c r="C46" s="113" t="s">
        <v>95</v>
      </c>
      <c r="D46" s="113" t="s">
        <v>1</v>
      </c>
      <c r="E46" s="113" t="s">
        <v>96</v>
      </c>
      <c r="F46" s="114"/>
      <c r="G46" s="6"/>
      <c r="H46" s="7"/>
      <c r="I46" s="7"/>
      <c r="J46" s="7"/>
      <c r="K46" s="7"/>
      <c r="L46" s="7"/>
      <c r="M46" s="7"/>
      <c r="N46" s="59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 ht="12.75">
      <c r="B47" s="115" t="s">
        <v>97</v>
      </c>
      <c r="C47" s="116">
        <f>F18</f>
        <v>22500</v>
      </c>
      <c r="D47" s="117">
        <f>C47/6</f>
        <v>3750</v>
      </c>
      <c r="E47" s="118">
        <f>D47/30</f>
        <v>125</v>
      </c>
      <c r="F47" t="s">
        <v>98</v>
      </c>
      <c r="G47" s="6"/>
      <c r="H47" s="7"/>
      <c r="I47" s="7"/>
      <c r="J47" s="7"/>
      <c r="K47" s="7"/>
      <c r="L47" s="7"/>
      <c r="M47" s="7"/>
      <c r="N47" s="59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 ht="12.75">
      <c r="B48" s="115" t="s">
        <v>99</v>
      </c>
      <c r="C48" s="116">
        <f>F9</f>
        <v>58400</v>
      </c>
      <c r="D48" s="117">
        <f>C48/12</f>
        <v>4866.666666666667</v>
      </c>
      <c r="E48" s="119">
        <f>D48/30</f>
        <v>162.22222222222223</v>
      </c>
      <c r="G48" s="6"/>
      <c r="H48" s="7"/>
      <c r="I48" s="7"/>
      <c r="J48" s="7"/>
      <c r="K48" s="7"/>
      <c r="L48" s="7"/>
      <c r="M48" s="7"/>
      <c r="N48" s="59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 ht="12.75">
      <c r="B49" s="120" t="s">
        <v>100</v>
      </c>
      <c r="C49" s="121">
        <f>F19</f>
        <v>80900</v>
      </c>
      <c r="D49" s="121">
        <f>D47+D48</f>
        <v>8616.666666666668</v>
      </c>
      <c r="E49" s="122" t="s">
        <v>101</v>
      </c>
      <c r="F49" s="114"/>
      <c r="G49" s="6"/>
      <c r="H49" s="7"/>
      <c r="I49" s="7"/>
      <c r="J49" s="7"/>
      <c r="K49" s="7"/>
      <c r="L49" s="7"/>
      <c r="M49" s="7"/>
      <c r="N49" s="59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ht="12.75">
      <c r="B50" s="123"/>
      <c r="C50" s="124"/>
      <c r="D50" s="124"/>
      <c r="E50" s="125"/>
      <c r="F50" s="114"/>
      <c r="G50" s="6"/>
      <c r="H50" s="7"/>
      <c r="I50" s="7"/>
      <c r="J50" s="7"/>
      <c r="K50" s="7"/>
      <c r="L50" s="7"/>
      <c r="M50" s="7"/>
      <c r="N50" s="59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 ht="12.75">
      <c r="B51" s="110"/>
      <c r="C51" s="126"/>
      <c r="D51" s="126" t="s">
        <v>102</v>
      </c>
      <c r="E51" s="126"/>
      <c r="F51" s="114"/>
      <c r="G51" s="6"/>
      <c r="H51" s="7"/>
      <c r="I51" s="7"/>
      <c r="J51" s="7"/>
      <c r="K51" s="7"/>
      <c r="L51" s="7"/>
      <c r="M51" s="7"/>
      <c r="N51" s="59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2:25" ht="12.75">
      <c r="B52" s="113" t="s">
        <v>103</v>
      </c>
      <c r="C52" s="113" t="s">
        <v>95</v>
      </c>
      <c r="D52" s="113" t="s">
        <v>1</v>
      </c>
      <c r="E52" s="113" t="s">
        <v>96</v>
      </c>
      <c r="F52" s="127"/>
      <c r="G52" s="6"/>
      <c r="H52" s="7"/>
      <c r="I52" s="7"/>
      <c r="J52" s="7"/>
      <c r="K52" s="7"/>
      <c r="L52" s="7"/>
      <c r="M52" s="7"/>
      <c r="N52" s="59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ht="12.75">
      <c r="B53" s="128" t="s">
        <v>104</v>
      </c>
      <c r="C53" s="129">
        <f>F31</f>
        <v>77760</v>
      </c>
      <c r="D53" s="129">
        <f>F31/12</f>
        <v>6480</v>
      </c>
      <c r="E53" s="130">
        <v>197</v>
      </c>
      <c r="F53" s="131"/>
      <c r="G53" s="6"/>
      <c r="H53" s="7"/>
      <c r="I53" s="7"/>
      <c r="J53" s="7"/>
      <c r="K53" s="7"/>
      <c r="L53" s="7"/>
      <c r="M53" s="7"/>
      <c r="N53" s="59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ht="12.75">
      <c r="B54" s="128" t="s">
        <v>105</v>
      </c>
      <c r="C54" s="129">
        <f>F39</f>
        <v>116700</v>
      </c>
      <c r="D54" s="129">
        <f>E54*30</f>
        <v>9591.780821917808</v>
      </c>
      <c r="E54" s="130">
        <f>F39/365</f>
        <v>319.7260273972603</v>
      </c>
      <c r="F54" s="131"/>
      <c r="G54" s="6"/>
      <c r="H54" s="7"/>
      <c r="I54" s="7"/>
      <c r="J54" s="7"/>
      <c r="K54" s="7"/>
      <c r="L54" s="7"/>
      <c r="M54" s="7"/>
      <c r="N54" s="59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ht="12.75">
      <c r="B55" s="132"/>
      <c r="C55" s="110"/>
      <c r="D55" s="110"/>
      <c r="E55" s="110"/>
      <c r="F55" s="110"/>
      <c r="G55" s="6"/>
      <c r="H55" s="7"/>
      <c r="I55" s="7"/>
      <c r="J55" s="7"/>
      <c r="K55" s="7"/>
      <c r="L55" s="7"/>
      <c r="M55" s="7"/>
      <c r="N55" s="59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2.75">
      <c r="B56" s="133" t="s">
        <v>106</v>
      </c>
      <c r="C56" s="134"/>
      <c r="D56" s="135"/>
      <c r="E56" s="135"/>
      <c r="F56" s="136"/>
      <c r="G56" s="6"/>
      <c r="H56" s="7"/>
      <c r="I56" s="7"/>
      <c r="J56" s="7"/>
      <c r="K56" s="7"/>
      <c r="L56" s="7"/>
      <c r="M56" s="7"/>
      <c r="N56" s="59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2.75">
      <c r="B57" s="137" t="s">
        <v>107</v>
      </c>
      <c r="C57" s="138"/>
      <c r="D57" s="139"/>
      <c r="E57" s="140">
        <f>D53</f>
        <v>6480</v>
      </c>
      <c r="F57" s="141" t="s">
        <v>108</v>
      </c>
      <c r="G57" s="6"/>
      <c r="H57" s="7"/>
      <c r="I57" s="7"/>
      <c r="J57" s="7"/>
      <c r="K57" s="7"/>
      <c r="L57" s="7"/>
      <c r="M57" s="7"/>
      <c r="N57" s="59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2.75">
      <c r="B58" s="137" t="s">
        <v>109</v>
      </c>
      <c r="C58" s="138"/>
      <c r="D58" s="139"/>
      <c r="E58" s="140">
        <f>E54</f>
        <v>319.7260273972603</v>
      </c>
      <c r="F58" s="141" t="s">
        <v>110</v>
      </c>
      <c r="G58" s="6"/>
      <c r="H58" s="7"/>
      <c r="I58" s="7"/>
      <c r="J58" s="7"/>
      <c r="K58" s="7"/>
      <c r="L58" s="7"/>
      <c r="M58" s="7"/>
      <c r="N58" s="59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5" ht="12.75">
      <c r="B59" s="142" t="s">
        <v>111</v>
      </c>
      <c r="C59" s="143"/>
      <c r="D59" s="139"/>
      <c r="E59" s="144">
        <f>E57-E60</f>
        <v>6254.99456403566</v>
      </c>
      <c r="F59" s="141"/>
      <c r="G59" s="6"/>
      <c r="H59" s="7"/>
      <c r="I59" s="7"/>
      <c r="J59" s="7"/>
      <c r="K59" s="7"/>
      <c r="L59" s="7"/>
      <c r="M59" s="7"/>
      <c r="N59" s="59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ht="12.75">
      <c r="B60" s="145" t="s">
        <v>112</v>
      </c>
      <c r="C60" s="146"/>
      <c r="D60" s="147"/>
      <c r="E60" s="148">
        <f>(D54-D48)/21</f>
        <v>225.00543596434005</v>
      </c>
      <c r="F60" s="149"/>
      <c r="G60" s="6"/>
      <c r="H60" s="7"/>
      <c r="I60" s="7"/>
      <c r="J60" s="7"/>
      <c r="K60" s="7"/>
      <c r="L60" s="7"/>
      <c r="M60" s="7"/>
      <c r="N60" s="59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ht="12.75">
      <c r="B61" s="150" t="s">
        <v>113</v>
      </c>
      <c r="C61" s="151"/>
      <c r="D61" s="151"/>
      <c r="E61" s="151"/>
      <c r="F61" s="152"/>
      <c r="G61" s="6"/>
      <c r="H61" s="7"/>
      <c r="I61" s="7"/>
      <c r="J61" s="7"/>
      <c r="K61" s="7"/>
      <c r="L61" s="7"/>
      <c r="M61" s="7"/>
      <c r="N61" s="59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2.75">
      <c r="B62" s="153" t="s">
        <v>114</v>
      </c>
      <c r="C62" s="147"/>
      <c r="D62" s="147"/>
      <c r="E62" s="147"/>
      <c r="F62" s="154">
        <f>F19*0.0027*10</f>
        <v>2184.3</v>
      </c>
      <c r="G62" s="6"/>
      <c r="H62" s="7"/>
      <c r="I62" s="7"/>
      <c r="J62" s="7"/>
      <c r="K62" s="7"/>
      <c r="L62" s="7"/>
      <c r="M62" s="7"/>
      <c r="N62" s="59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2.75">
      <c r="B63" s="155"/>
      <c r="C63" s="155"/>
      <c r="D63" s="155"/>
      <c r="E63" s="155"/>
      <c r="F63" s="155"/>
      <c r="G63" s="6"/>
      <c r="H63" s="7"/>
      <c r="I63" s="7"/>
      <c r="J63" s="7"/>
      <c r="K63" s="7"/>
      <c r="L63" s="7"/>
      <c r="M63" s="7"/>
      <c r="N63" s="59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2.75">
      <c r="B64" s="156" t="s">
        <v>115</v>
      </c>
      <c r="C64" s="6"/>
      <c r="D64" s="6"/>
      <c r="E64" s="6"/>
      <c r="F64" s="6"/>
      <c r="G64" s="6"/>
      <c r="H64" s="7"/>
      <c r="I64" s="7"/>
      <c r="J64" s="7"/>
      <c r="K64" s="7"/>
      <c r="L64" s="7"/>
      <c r="M64" s="7"/>
      <c r="N64" s="59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2.75">
      <c r="B65" s="156" t="s">
        <v>116</v>
      </c>
      <c r="C65" s="6"/>
      <c r="D65" s="6"/>
      <c r="E65" s="6"/>
      <c r="F65" s="6"/>
      <c r="G65" s="6"/>
      <c r="H65" s="7"/>
      <c r="I65" s="7"/>
      <c r="J65" s="7"/>
      <c r="K65" s="7"/>
      <c r="L65" s="7"/>
      <c r="M65" s="7"/>
      <c r="N65" s="59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ht="12.75">
      <c r="B66" s="156" t="s">
        <v>117</v>
      </c>
      <c r="C66" s="6"/>
      <c r="D66" s="6"/>
      <c r="E66" s="6"/>
      <c r="F66" s="6"/>
      <c r="G66" s="6"/>
      <c r="H66" s="7"/>
      <c r="I66" s="7"/>
      <c r="J66" s="7"/>
      <c r="K66" s="7"/>
      <c r="L66" s="7"/>
      <c r="M66" s="7"/>
      <c r="N66" s="59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FN</cp:lastModifiedBy>
  <dcterms:modified xsi:type="dcterms:W3CDTF">2008-11-24T09:40:50Z</dcterms:modified>
  <cp:category/>
  <cp:version/>
  <cp:contentType/>
  <cp:contentStatus/>
</cp:coreProperties>
</file>