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35" yWindow="135" windowWidth="7680" windowHeight="9510" tabRatio="601" activeTab="0"/>
  </bookViews>
  <sheets>
    <sheet name="BE1" sheetId="1" r:id="rId1"/>
    <sheet name="BE2" sheetId="2" r:id="rId2"/>
    <sheet name="BE3" sheetId="3" r:id="rId3"/>
    <sheet name="BE4" sheetId="4" r:id="rId4"/>
    <sheet name="BE5" sheetId="5" r:id="rId5"/>
    <sheet name="BE6" sheetId="6" r:id="rId6"/>
    <sheet name="BE7" sheetId="7" r:id="rId7"/>
    <sheet name="BE8" sheetId="8" r:id="rId8"/>
    <sheet name="BE9" sheetId="9" r:id="rId9"/>
    <sheet name="BE10" sheetId="10" r:id="rId10"/>
    <sheet name="BE11" sheetId="11" r:id="rId11"/>
    <sheet name="BE12" sheetId="12" r:id="rId12"/>
    <sheet name="BE13" sheetId="13" r:id="rId13"/>
    <sheet name="BE14" sheetId="14" r:id="rId14"/>
  </sheets>
  <definedNames>
    <definedName name="_xlnm.Print_Area" localSheetId="0">'BE1'!$A$2:$T$55</definedName>
    <definedName name="_xlnm.Print_Area" localSheetId="9">'BE10'!#REF!</definedName>
    <definedName name="_xlnm.Print_Area" localSheetId="10">'BE11'!$A$1:$L$14</definedName>
    <definedName name="_xlnm.Print_Area" localSheetId="11">'BE12'!$A$1:$I$23</definedName>
    <definedName name="_xlnm.Print_Area" localSheetId="12">'BE13'!$A$1:$H$18</definedName>
    <definedName name="_xlnm.Print_Area" localSheetId="13">'BE14'!$A$1:$M$47</definedName>
    <definedName name="_xlnm.Print_Area" localSheetId="1">'BE2'!$A$1:$J$33</definedName>
    <definedName name="_xlnm.Print_Area" localSheetId="2">'BE3'!$A$1:$N$45</definedName>
    <definedName name="_xlnm.Print_Area" localSheetId="3">'BE4'!$A$1:$N$51</definedName>
    <definedName name="_xlnm.Print_Area" localSheetId="4">'BE5'!$A$1:$H$26</definedName>
    <definedName name="_xlnm.Print_Area" localSheetId="5">'BE6'!$A$1:$N$51</definedName>
    <definedName name="_xlnm.Print_Area" localSheetId="6">'BE7'!$A$1:$N$52</definedName>
    <definedName name="_xlnm.Print_Area" localSheetId="7">'BE8'!$A$1:$N$53</definedName>
    <definedName name="_xlnm.Print_Area" localSheetId="8">'BE9'!$A$1:$H$65</definedName>
    <definedName name="IDX7" localSheetId="13">'BE14'!#REF!</definedName>
    <definedName name="IDX8" localSheetId="13">'BE14'!#REF!</definedName>
  </definedNames>
  <calcPr fullCalcOnLoad="1"/>
</workbook>
</file>

<file path=xl/sharedStrings.xml><?xml version="1.0" encoding="utf-8"?>
<sst xmlns="http://schemas.openxmlformats.org/spreadsheetml/2006/main" count="1238" uniqueCount="254">
  <si>
    <t>TABELLA BE-2. - Bilancio di copertura dell'energia elettrica richiesta in Italia</t>
  </si>
  <si>
    <t>(in miliardi di kWh)</t>
  </si>
  <si>
    <t xml:space="preserve">  geotermoelettrica</t>
  </si>
  <si>
    <t xml:space="preserve">  termoelettrica tradizionale</t>
  </si>
  <si>
    <t xml:space="preserve">  di cui da:</t>
  </si>
  <si>
    <t xml:space="preserve">     gas naturale</t>
  </si>
  <si>
    <t>1. Totale produzione</t>
  </si>
  <si>
    <t>4. Saldo import-export</t>
  </si>
  <si>
    <t xml:space="preserve">        internazionale, sono comprese le perdite relative ai trasformatori di centrali, in precedenza comprese nelle perdite di trasmis-</t>
  </si>
  <si>
    <t xml:space="preserve">        sione e di distribuzione.</t>
  </si>
  <si>
    <t xml:space="preserve">        risponde alla produzione netta disponibile (al netto cioè degli assorbimenti per servizi ausiliari e per pompaggi) più o meno il </t>
  </si>
  <si>
    <t xml:space="preserve">         saldo fra importazioni ed esportazioni dall'estero. Nello schema di bilancio energetico complessivo</t>
  </si>
  <si>
    <t xml:space="preserve">        indicato in tab. BE1, alla riga " Consumi e perdite" del settore energetico sono riportati i quantitativi di energia elettrica (espressi</t>
  </si>
  <si>
    <t xml:space="preserve">        consumi di energia elettrica nelle industrie del settore energetico.</t>
  </si>
  <si>
    <t>TABELLA   BE-3.- Importazioni di petrolio greggio per Aree e principali Paesi di provenienza</t>
  </si>
  <si>
    <t>(in migliaia di tonnellate)</t>
  </si>
  <si>
    <t xml:space="preserve">       AREE E PAESI</t>
  </si>
  <si>
    <t>Q</t>
  </si>
  <si>
    <t>%</t>
  </si>
  <si>
    <t>Europa</t>
  </si>
  <si>
    <t xml:space="preserve">   Norvegia</t>
  </si>
  <si>
    <t xml:space="preserve">   Regno Unito</t>
  </si>
  <si>
    <t xml:space="preserve">   Russia</t>
  </si>
  <si>
    <t xml:space="preserve">   Ucraina</t>
  </si>
  <si>
    <t>America</t>
  </si>
  <si>
    <t xml:space="preserve">   Messico</t>
  </si>
  <si>
    <t xml:space="preserve">   Venezuela</t>
  </si>
  <si>
    <t xml:space="preserve">   Altri</t>
  </si>
  <si>
    <t>Asia</t>
  </si>
  <si>
    <t xml:space="preserve">   Indonesia</t>
  </si>
  <si>
    <t xml:space="preserve">   India</t>
  </si>
  <si>
    <t>Africa</t>
  </si>
  <si>
    <t xml:space="preserve">   Algeria</t>
  </si>
  <si>
    <t xml:space="preserve">   Congo</t>
  </si>
  <si>
    <t xml:space="preserve">   Egitto</t>
  </si>
  <si>
    <t xml:space="preserve">   Gabon</t>
  </si>
  <si>
    <t xml:space="preserve">   Libia</t>
  </si>
  <si>
    <t xml:space="preserve">   Nigeria</t>
  </si>
  <si>
    <t xml:space="preserve">   Tunisia</t>
  </si>
  <si>
    <t xml:space="preserve">   Camerun</t>
  </si>
  <si>
    <t xml:space="preserve">   Angola</t>
  </si>
  <si>
    <t>Medio Oriente</t>
  </si>
  <si>
    <t xml:space="preserve">   Abu Dhabi</t>
  </si>
  <si>
    <t xml:space="preserve">   Arabia Saudita</t>
  </si>
  <si>
    <t xml:space="preserve">   Dubay</t>
  </si>
  <si>
    <t xml:space="preserve">   Kuwait</t>
  </si>
  <si>
    <t xml:space="preserve">   Iran</t>
  </si>
  <si>
    <t xml:space="preserve">   Iraq</t>
  </si>
  <si>
    <t xml:space="preserve">   Qatar</t>
  </si>
  <si>
    <t xml:space="preserve">   Siria</t>
  </si>
  <si>
    <t xml:space="preserve">   Yemen</t>
  </si>
  <si>
    <t xml:space="preserve">     Totale Generale</t>
  </si>
  <si>
    <t>(di cui c/committenti naz.)</t>
  </si>
  <si>
    <t xml:space="preserve">   Germania</t>
  </si>
  <si>
    <t xml:space="preserve">   Svizzera</t>
  </si>
  <si>
    <t xml:space="preserve">   Francia</t>
  </si>
  <si>
    <t>TABELLA BE-4. -Importazioni di semilavorati petroliferi per Aree e principali Paesi di provenienza</t>
  </si>
  <si>
    <t xml:space="preserve">    AREE E PAESI</t>
  </si>
  <si>
    <t xml:space="preserve">    Q</t>
  </si>
  <si>
    <t xml:space="preserve">    %</t>
  </si>
  <si>
    <t xml:space="preserve">   Grecia</t>
  </si>
  <si>
    <t xml:space="preserve">   Regno Unito </t>
  </si>
  <si>
    <t xml:space="preserve">   Romania</t>
  </si>
  <si>
    <t xml:space="preserve">   Spagna</t>
  </si>
  <si>
    <t xml:space="preserve">   Turchia</t>
  </si>
  <si>
    <t xml:space="preserve">   C.S.I.</t>
  </si>
  <si>
    <t xml:space="preserve">   Russia </t>
  </si>
  <si>
    <t xml:space="preserve">   Croazia</t>
  </si>
  <si>
    <t>Norvegia</t>
  </si>
  <si>
    <t xml:space="preserve">   U.S.A.</t>
  </si>
  <si>
    <t xml:space="preserve">   Totale generale</t>
  </si>
  <si>
    <t xml:space="preserve"> </t>
  </si>
  <si>
    <t xml:space="preserve">   Olanda</t>
  </si>
  <si>
    <t xml:space="preserve">   Svezia</t>
  </si>
  <si>
    <t xml:space="preserve">   Belgio</t>
  </si>
  <si>
    <t xml:space="preserve">   Danimarca</t>
  </si>
  <si>
    <t xml:space="preserve">   Trinidad</t>
  </si>
  <si>
    <t xml:space="preserve">   Nelle importazioni di prodotti è compreso il coke di petrolio e orimulsion</t>
  </si>
  <si>
    <t>Totale Generale</t>
  </si>
  <si>
    <t xml:space="preserve">   Malta</t>
  </si>
  <si>
    <t xml:space="preserve">   Portogallo</t>
  </si>
  <si>
    <t xml:space="preserve">   Austria</t>
  </si>
  <si>
    <t xml:space="preserve">   Cipro</t>
  </si>
  <si>
    <t xml:space="preserve">   Canada</t>
  </si>
  <si>
    <t xml:space="preserve">   Indonesia </t>
  </si>
  <si>
    <t xml:space="preserve">   Cina</t>
  </si>
  <si>
    <t xml:space="preserve">   Giappone</t>
  </si>
  <si>
    <t>Oceania</t>
  </si>
  <si>
    <t xml:space="preserve">  Totale generale</t>
  </si>
  <si>
    <t>CARBONE DA  COKE</t>
  </si>
  <si>
    <t>PAESI</t>
  </si>
  <si>
    <t xml:space="preserve">   U.E.</t>
  </si>
  <si>
    <t xml:space="preserve">   USA</t>
  </si>
  <si>
    <t xml:space="preserve">   Polonia</t>
  </si>
  <si>
    <t xml:space="preserve">   Australia</t>
  </si>
  <si>
    <t xml:space="preserve">   Sud Africa</t>
  </si>
  <si>
    <t xml:space="preserve">   Colombia</t>
  </si>
  <si>
    <t xml:space="preserve">        Totale</t>
  </si>
  <si>
    <t>CARBONE DA  VAPORE</t>
  </si>
  <si>
    <t>ALTRI  E  LIGNITE</t>
  </si>
  <si>
    <t xml:space="preserve">   PAESI</t>
  </si>
  <si>
    <t>TOTALE  SOLIDI</t>
  </si>
  <si>
    <t xml:space="preserve">        A  N  N  O</t>
  </si>
  <si>
    <t>Produzione nazionale</t>
  </si>
  <si>
    <t>TOTALE disponibilità</t>
  </si>
  <si>
    <t>AREE</t>
  </si>
  <si>
    <t xml:space="preserve"> Carbone da coke</t>
  </si>
  <si>
    <t>Carbone da vapore</t>
  </si>
  <si>
    <t>Altri  e  lignite</t>
  </si>
  <si>
    <t xml:space="preserve">       Totale carboni</t>
  </si>
  <si>
    <t xml:space="preserve">   Totale</t>
  </si>
  <si>
    <t>(In migliaia di tonnellate)</t>
  </si>
  <si>
    <t xml:space="preserve">       P R O D O T T I</t>
  </si>
  <si>
    <t>Benzina</t>
  </si>
  <si>
    <t xml:space="preserve">  di cui: per autotrazione</t>
  </si>
  <si>
    <t>Petrolio</t>
  </si>
  <si>
    <t>Gasolio</t>
  </si>
  <si>
    <t xml:space="preserve">  di cui:   per autotrazione</t>
  </si>
  <si>
    <t xml:space="preserve"> per riscaldamento</t>
  </si>
  <si>
    <t xml:space="preserve"> per usi agricoli</t>
  </si>
  <si>
    <t xml:space="preserve"> per usi industriali</t>
  </si>
  <si>
    <t>Olio combustibile</t>
  </si>
  <si>
    <t>Gas di petrolio liquefatti</t>
  </si>
  <si>
    <t>Carboturbo</t>
  </si>
  <si>
    <t>Bitume</t>
  </si>
  <si>
    <t>Lubrificanti</t>
  </si>
  <si>
    <t>Altri prodotti</t>
  </si>
  <si>
    <t>Bunkeraggi</t>
  </si>
  <si>
    <t>Petrolchimica (Carica netta)</t>
  </si>
  <si>
    <t>Consumi e perdite di raffinazione</t>
  </si>
  <si>
    <t>Totale consumi</t>
  </si>
  <si>
    <t xml:space="preserve">    A N N 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</si>
  <si>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</si>
  <si>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</si>
  <si>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</si>
  <si>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</si>
  <si>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</si>
  <si>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</si>
  <si>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</si>
  <si>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</si>
  <si>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</si>
  <si>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</si>
  <si>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</si>
  <si>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</si>
  <si>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nell'anno</t>
  </si>
  <si>
    <t>ANNI</t>
  </si>
  <si>
    <t>GASOLIO  AUTOTRAZIONE</t>
  </si>
  <si>
    <t>GASOLIO  RISCALDAMENTO</t>
  </si>
  <si>
    <t>prezzo industriale</t>
  </si>
  <si>
    <t>componente fiscale</t>
  </si>
  <si>
    <t>prezzo finale</t>
  </si>
  <si>
    <t>greggio</t>
  </si>
  <si>
    <t>semilavorati e prodotti</t>
  </si>
  <si>
    <t>Esportazioni di greggio, semilavorati e prodotti per Aree di destinazione</t>
  </si>
  <si>
    <t xml:space="preserve">2. Assorbimento per servizi ausiliari </t>
  </si>
  <si>
    <t>Produzione lorda di energia elettrica (a)</t>
  </si>
  <si>
    <t xml:space="preserve">  idroelettrica (a)</t>
  </si>
  <si>
    <t xml:space="preserve">  altre rinnovabili (b)</t>
  </si>
  <si>
    <t xml:space="preserve">     prodotti petroliferi (c)</t>
  </si>
  <si>
    <t xml:space="preserve">     altri combustibili (d)</t>
  </si>
  <si>
    <t xml:space="preserve">   di centrale (e)</t>
  </si>
  <si>
    <t>3. Perdite per pompaggio</t>
  </si>
  <si>
    <t>5. Energia elettrica richiesta (1-2-3+4) (f)</t>
  </si>
  <si>
    <t xml:space="preserve">  (a) Al netto degli apporti da pompaggio.</t>
  </si>
  <si>
    <t xml:space="preserve">  (b) Solare, eolico, rifiuti solidi urbani, colture e rifiuti agro-industriali, biogas.</t>
  </si>
  <si>
    <t xml:space="preserve">  (c) Olio combustibile, gasolio,distillati leggeri, coke di petrolio, orimulsion e gas residui di raffineria.</t>
  </si>
  <si>
    <t xml:space="preserve">  (d) Gas di cokeria e d'altoforno, gas d'acciaieria, prodotti e calore di recupero, espansione di gas in pressione.</t>
  </si>
  <si>
    <t xml:space="preserve">  (e) A partire dal 1983 nella voce "assorbimenti per servizi ausiliari di centrale", in conformità alla metodologia adottata a livello</t>
  </si>
  <si>
    <t xml:space="preserve">  (f) L'energia elettrica richiesta sulla rete, pari ai consumi degli utilizzatori ultimi più le perdite di trasmissione e di distribuzione, cor-</t>
  </si>
  <si>
    <t xml:space="preserve">        in Mtep) corrispondenti agli assorbimenti per i servizi ausiliari, alle perdite di pompaggio,  di trasmissione e di distribuzione ed ai </t>
  </si>
  <si>
    <t xml:space="preserve">   Irlanda</t>
  </si>
  <si>
    <t>( Valori in Euro) (1)</t>
  </si>
  <si>
    <t>(1) Euro per 1000 litri di benzina e gasoli, per 1000 kg di olio combustibile</t>
  </si>
  <si>
    <t xml:space="preserve">     carbone</t>
  </si>
  <si>
    <t>Altri</t>
  </si>
  <si>
    <t>OLIO  COMBUSTIBILE  BTZ</t>
  </si>
  <si>
    <t>TABELLA BE-1. -Bilancio dell' Energia in Italia</t>
  </si>
  <si>
    <t xml:space="preserve"> (in milioni di tonnellate equivalenti di petrolio)</t>
  </si>
  <si>
    <t>Disponibilità e impieghi</t>
  </si>
  <si>
    <t>solidi</t>
  </si>
  <si>
    <t>gas</t>
  </si>
  <si>
    <t>petrolio</t>
  </si>
  <si>
    <t>energia elettrica (a)</t>
  </si>
  <si>
    <t>totale</t>
  </si>
  <si>
    <t>1  Produzione</t>
  </si>
  <si>
    <t>2. Importazione</t>
  </si>
  <si>
    <t>3 Esportazione</t>
  </si>
  <si>
    <t>4 Variazione scorte</t>
  </si>
  <si>
    <t>5 Totale disponibilità per il</t>
  </si>
  <si>
    <t xml:space="preserve">   consumo interno (1+2-3-4)</t>
  </si>
  <si>
    <t>6 Consumi e perdite del</t>
  </si>
  <si>
    <t xml:space="preserve">   settore energetico (b)</t>
  </si>
  <si>
    <t>7 Trasformazione in energia elettrica</t>
  </si>
  <si>
    <t>8 Totale impieghi finali (5+6+7)</t>
  </si>
  <si>
    <t xml:space="preserve">     -industria</t>
  </si>
  <si>
    <t xml:space="preserve">     -trasporti </t>
  </si>
  <si>
    <t xml:space="preserve">     -usi civili (c)</t>
  </si>
  <si>
    <t xml:space="preserve">     -agricoltura</t>
  </si>
  <si>
    <t xml:space="preserve">     -usi non energetici</t>
  </si>
  <si>
    <t xml:space="preserve">     -bunkeraggi</t>
  </si>
  <si>
    <t>Le tabelle sono state tutte riviste rispetto agli anni precedenti in quanto i dati sulla produzione idroelettrica sono al netto dei pompaggi</t>
  </si>
  <si>
    <t>I combustibili solidi includono espansione di gas compresso, gas di acciaieria ad ossigeno e residui di processi chimici</t>
  </si>
  <si>
    <t xml:space="preserve"> (a) Energia elettrica primaria (idroelettrica, geotermoelettrica, eolico) ed importazioni/esportazioni dall'estero valutate a input termoelettrico, convenzionale e </t>
  </si>
  <si>
    <t xml:space="preserve">     costante, di 2.200 kcal per kWh.</t>
  </si>
  <si>
    <t xml:space="preserve"> (b)  In conformità con altre fonti statistiche è stato adottato per l'energia elettrica, nella parte del bilancio riguardante gli impieghi dell'energia, il coefficiente di conversione di 860 </t>
  </si>
  <si>
    <t xml:space="preserve">     kcal per kWh. Pertanto le differenze tra i coefficienti convenzionali adottati per l'energia elettrica primaria o di importazione (2.200 kcal per kWh) e quelli effettivi delle centrali</t>
  </si>
  <si>
    <t xml:space="preserve">     termoelettriche, rispetto al coefficiente assunto di 860 kcal per kWh, sono incluse nella riga "Consumi e perdite del settore energetico" alla colonna totale.</t>
  </si>
  <si>
    <t xml:space="preserve">     L'utilizzo, anche dal lato degli impieghi del coefficiente di conversione convenzionale di 2.200 kcal per kWh potrebbe peraltro meglio evidenziare, anche a livello di singolo </t>
  </si>
  <si>
    <t xml:space="preserve">     settore di utilizzo, il fabbisogno di fonti energetiche effettivamente impiegate per la trasformazione in energia elettrica.</t>
  </si>
  <si>
    <t xml:space="preserve"> (c) Comprende i consumi del settore domestico, del commercio, dei servizi, della Pubblica Amministrazione.</t>
  </si>
  <si>
    <t>rinnovabili  (a)</t>
  </si>
  <si>
    <t>Semilavorati</t>
  </si>
  <si>
    <t>Greggio</t>
  </si>
  <si>
    <t>Turchia</t>
  </si>
  <si>
    <t>Libia</t>
  </si>
  <si>
    <t>Grecia</t>
  </si>
  <si>
    <t xml:space="preserve">     -</t>
  </si>
  <si>
    <t xml:space="preserve">Importazione </t>
  </si>
  <si>
    <t xml:space="preserve">   di cui via gasdotto:</t>
  </si>
  <si>
    <t>Olanda</t>
  </si>
  <si>
    <t>Trinidad Tobago</t>
  </si>
  <si>
    <t>Spagna</t>
  </si>
  <si>
    <t xml:space="preserve">   di cui via nave (GNL)</t>
  </si>
  <si>
    <t>Variazione scorte</t>
  </si>
  <si>
    <t xml:space="preserve">Esportazione </t>
  </si>
  <si>
    <t xml:space="preserve">  Il gas importato in regime di swap è quindi contabilizzato in funzione dell'origine fisica del gas.</t>
  </si>
  <si>
    <t xml:space="preserve">(*) Le importazioni sono suddivise per Paese di provenienza fisica del gas e non contrattuale. </t>
  </si>
  <si>
    <t>TABELLA BE-5. - Importazioni di greggio, semilavorati e prodotti per Aree di provenienza</t>
  </si>
  <si>
    <t>Tabella  BE-6.- Importazioni di prodotti petroliferi per Aree e principali Paesi di provenienza</t>
  </si>
  <si>
    <t>TABELLA  BE-7. - Esportazioni di greggio e semilavorati petroliferi per Aree e principali Paesi di destinazione</t>
  </si>
  <si>
    <t>TABELLA  BE-8. - Esportazioni di prodotti petroliferi per Aree e Paesi di destinazione</t>
  </si>
  <si>
    <t>TABELLA  BE-9. - Importazioni di combustibili solidi per Paesi di provenienza</t>
  </si>
  <si>
    <t>BE-11. -  Importazioni di combustibili solidi fossili per Aree di provenienza</t>
  </si>
  <si>
    <t>TABELLA BE-12. - Il consumo dei principali prodotti petroliferi</t>
  </si>
  <si>
    <t>TABELLA BE-13. - Prezzi medi FOB in $/b del greggio importato in Italia</t>
  </si>
  <si>
    <t>TABELLA BE-14.- Prezzi medi al consumo di alcuni prodotti petroliferi</t>
  </si>
  <si>
    <t xml:space="preserve">2005 </t>
  </si>
  <si>
    <t>Croazia</t>
  </si>
  <si>
    <t>(milioni di Standard metri cubi a 38,1 MJ/mc)</t>
  </si>
  <si>
    <t xml:space="preserve">   Israele</t>
  </si>
  <si>
    <t>Egitto</t>
  </si>
  <si>
    <t>BENZINA  Senza Piombo</t>
  </si>
  <si>
    <t xml:space="preserve">2006 </t>
  </si>
  <si>
    <t>2005</t>
  </si>
  <si>
    <t xml:space="preserve">   Albania</t>
  </si>
  <si>
    <t>Malta</t>
  </si>
  <si>
    <t>2007</t>
  </si>
  <si>
    <t>TABELLA  BE-10. - Bilancio del gas naturale</t>
  </si>
  <si>
    <r>
      <t xml:space="preserve">gas </t>
    </r>
    <r>
      <rPr>
        <vertAlign val="superscript"/>
        <sz val="8"/>
        <rFont val="Arial"/>
        <family val="2"/>
      </rPr>
      <t>(e)</t>
    </r>
  </si>
  <si>
    <t>Qatar</t>
  </si>
  <si>
    <t>gas (e)</t>
  </si>
  <si>
    <t>Svizzera</t>
  </si>
  <si>
    <t>-</t>
  </si>
  <si>
    <t xml:space="preserve">  </t>
  </si>
</sst>
</file>

<file path=xl/styles.xml><?xml version="1.0" encoding="utf-8"?>
<styleSheet xmlns="http://schemas.openxmlformats.org/spreadsheetml/2006/main">
  <numFmts count="5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\d\-mmm\-\y\y"/>
    <numFmt numFmtId="176" formatCode="\d\-mmm"/>
    <numFmt numFmtId="177" formatCode="h\.mm\ AM/PM"/>
    <numFmt numFmtId="178" formatCode="h\.mm\.ss\ AM/PM"/>
    <numFmt numFmtId="179" formatCode="h\.mm"/>
    <numFmt numFmtId="180" formatCode="h\.mm\.ss"/>
    <numFmt numFmtId="181" formatCode="#,###"/>
    <numFmt numFmtId="182" formatCode="#,###.0"/>
    <numFmt numFmtId="183" formatCode="d/m/yy"/>
    <numFmt numFmtId="184" formatCode="d\-mmm\-yy"/>
    <numFmt numFmtId="185" formatCode="d\-mmm"/>
    <numFmt numFmtId="186" formatCode="d/m/yy\ h\.mm"/>
    <numFmt numFmtId="187" formatCode="#,##0.0"/>
    <numFmt numFmtId="188" formatCode="#,##0.000"/>
    <numFmt numFmtId="189" formatCode="0.00000000"/>
    <numFmt numFmtId="190" formatCode="0.0000000"/>
    <numFmt numFmtId="191" formatCode="General_)"/>
    <numFmt numFmtId="192" formatCode="#,##0.00_);\(#,##0.00\)"/>
    <numFmt numFmtId="193" formatCode="#,##0.0;[Red]\-#,##0.0"/>
    <numFmt numFmtId="194" formatCode="0.0%"/>
    <numFmt numFmtId="195" formatCode="#,##0.0000"/>
    <numFmt numFmtId="196" formatCode="#,##0.00000"/>
    <numFmt numFmtId="197" formatCode="0.000%"/>
    <numFmt numFmtId="198" formatCode="&quot;Sì&quot;;&quot;Sì&quot;;&quot;No&quot;"/>
    <numFmt numFmtId="199" formatCode="&quot;Vero&quot;;&quot;Vero&quot;;&quot;Falso&quot;"/>
    <numFmt numFmtId="200" formatCode="&quot;Attivo&quot;;&quot;Attivo&quot;;&quot;Disattivo&quot;"/>
    <numFmt numFmtId="201" formatCode="[$€]\ #,##0;[Red]\-[$€]\ #,##0"/>
    <numFmt numFmtId="202" formatCode="[$€-2]\ #.##000_);[Red]\([$€-2]\ #.##000\)"/>
    <numFmt numFmtId="203" formatCode="_(* #,##0.00_);_(* \(#,##0.00\);_(* &quot;-&quot;??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</numFmts>
  <fonts count="5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8"/>
      <name val="Arial"/>
      <family val="0"/>
    </font>
    <font>
      <sz val="8"/>
      <name val="MS Sans Serif"/>
      <family val="0"/>
    </font>
    <font>
      <b/>
      <sz val="10"/>
      <name val="Arial"/>
      <family val="0"/>
    </font>
    <font>
      <sz val="9"/>
      <name val="Arial"/>
      <family val="2"/>
    </font>
    <font>
      <sz val="9"/>
      <name val="MS Sans Serif"/>
      <family val="0"/>
    </font>
    <font>
      <sz val="10"/>
      <name val="Courier"/>
      <family val="0"/>
    </font>
    <font>
      <b/>
      <sz val="8"/>
      <name val="Arial"/>
      <family val="0"/>
    </font>
    <font>
      <b/>
      <sz val="9"/>
      <name val="Arial"/>
      <family val="2"/>
    </font>
    <font>
      <b/>
      <sz val="11"/>
      <name val="Arial"/>
      <family val="0"/>
    </font>
    <font>
      <sz val="8"/>
      <name val="Courier"/>
      <family val="3"/>
    </font>
    <font>
      <sz val="12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9"/>
      <color indexed="9"/>
      <name val="Arial"/>
      <family val="2"/>
    </font>
    <font>
      <i/>
      <sz val="9"/>
      <name val="Arial"/>
      <family val="2"/>
    </font>
    <font>
      <vertAlign val="superscript"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201" fontId="0" fillId="0" borderId="0" applyFont="0" applyFill="0" applyBorder="0" applyAlignment="0" applyProtection="0"/>
    <xf numFmtId="0" fontId="42" fillId="28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598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4" fillId="0" borderId="0" xfId="50" applyFont="1" applyFill="1" applyBorder="1" applyAlignment="1">
      <alignment horizontal="right"/>
      <protection/>
    </xf>
    <xf numFmtId="0" fontId="7" fillId="0" borderId="10" xfId="53" applyFont="1" applyFill="1" applyBorder="1" applyAlignment="1" applyProtection="1">
      <alignment horizontal="center" vertical="center"/>
      <protection/>
    </xf>
    <xf numFmtId="0" fontId="4" fillId="0" borderId="11" xfId="53" applyFont="1" applyFill="1" applyBorder="1" applyAlignment="1">
      <alignment horizontal="center" vertical="center"/>
      <protection/>
    </xf>
    <xf numFmtId="0" fontId="4" fillId="0" borderId="12" xfId="53" applyFont="1" applyFill="1" applyBorder="1" applyAlignment="1" applyProtection="1">
      <alignment horizontal="left"/>
      <protection/>
    </xf>
    <xf numFmtId="0" fontId="4" fillId="0" borderId="0" xfId="53" applyFont="1" applyFill="1" applyBorder="1">
      <alignment/>
      <protection/>
    </xf>
    <xf numFmtId="0" fontId="4" fillId="0" borderId="13" xfId="53" applyFont="1" applyFill="1" applyBorder="1" applyAlignment="1">
      <alignment horizontal="center" vertical="center"/>
      <protection/>
    </xf>
    <xf numFmtId="0" fontId="4" fillId="0" borderId="14" xfId="53" applyFont="1" applyFill="1" applyBorder="1" applyAlignment="1">
      <alignment horizontal="center" vertical="center"/>
      <protection/>
    </xf>
    <xf numFmtId="0" fontId="7" fillId="0" borderId="12" xfId="53" applyFont="1" applyFill="1" applyBorder="1" applyAlignment="1" applyProtection="1">
      <alignment horizontal="left"/>
      <protection/>
    </xf>
    <xf numFmtId="3" fontId="8" fillId="0" borderId="15" xfId="53" applyNumberFormat="1" applyFont="1" applyFill="1" applyBorder="1" applyProtection="1">
      <alignment/>
      <protection/>
    </xf>
    <xf numFmtId="170" fontId="8" fillId="0" borderId="0" xfId="53" applyNumberFormat="1" applyFont="1" applyFill="1" applyBorder="1" applyAlignment="1">
      <alignment horizontal="right"/>
      <protection/>
    </xf>
    <xf numFmtId="3" fontId="8" fillId="0" borderId="15" xfId="53" applyNumberFormat="1" applyFont="1" applyFill="1" applyBorder="1">
      <alignment/>
      <protection/>
    </xf>
    <xf numFmtId="0" fontId="4" fillId="0" borderId="12" xfId="53" applyFont="1" applyFill="1" applyBorder="1">
      <alignment/>
      <protection/>
    </xf>
    <xf numFmtId="0" fontId="4" fillId="0" borderId="12" xfId="53" applyFont="1" applyFill="1" applyBorder="1" applyAlignment="1" applyProtection="1">
      <alignment/>
      <protection/>
    </xf>
    <xf numFmtId="0" fontId="4" fillId="0" borderId="16" xfId="53" applyFont="1" applyFill="1" applyBorder="1" applyAlignment="1" applyProtection="1">
      <alignment horizontal="left"/>
      <protection/>
    </xf>
    <xf numFmtId="0" fontId="5" fillId="0" borderId="0" xfId="53" applyFont="1" applyFill="1" applyAlignment="1" applyProtection="1">
      <alignment horizontal="left"/>
      <protection/>
    </xf>
    <xf numFmtId="0" fontId="4" fillId="0" borderId="17" xfId="53" applyFont="1" applyFill="1" applyBorder="1">
      <alignment/>
      <protection/>
    </xf>
    <xf numFmtId="3" fontId="5" fillId="0" borderId="17" xfId="53" applyNumberFormat="1" applyFont="1" applyFill="1" applyBorder="1">
      <alignment/>
      <protection/>
    </xf>
    <xf numFmtId="170" fontId="5" fillId="0" borderId="17" xfId="53" applyNumberFormat="1" applyFont="1" applyFill="1" applyBorder="1" applyAlignment="1" applyProtection="1">
      <alignment horizontal="right"/>
      <protection/>
    </xf>
    <xf numFmtId="3" fontId="5" fillId="0" borderId="17" xfId="53" applyNumberFormat="1" applyFont="1" applyFill="1" applyBorder="1" applyProtection="1">
      <alignment/>
      <protection/>
    </xf>
    <xf numFmtId="170" fontId="5" fillId="0" borderId="17" xfId="53" applyNumberFormat="1" applyFont="1" applyFill="1" applyBorder="1" applyAlignment="1">
      <alignment horizontal="right"/>
      <protection/>
    </xf>
    <xf numFmtId="0" fontId="4" fillId="0" borderId="0" xfId="53" applyFont="1" applyFill="1">
      <alignment/>
      <protection/>
    </xf>
    <xf numFmtId="3" fontId="4" fillId="0" borderId="0" xfId="53" applyNumberFormat="1" applyFont="1" applyFill="1">
      <alignment/>
      <protection/>
    </xf>
    <xf numFmtId="170" fontId="4" fillId="0" borderId="0" xfId="53" applyNumberFormat="1" applyFont="1" applyFill="1">
      <alignment/>
      <protection/>
    </xf>
    <xf numFmtId="0" fontId="4" fillId="0" borderId="0" xfId="54" applyFont="1" applyFill="1">
      <alignment/>
      <protection/>
    </xf>
    <xf numFmtId="170" fontId="4" fillId="0" borderId="0" xfId="54" applyNumberFormat="1" applyFont="1" applyFill="1">
      <alignment/>
      <protection/>
    </xf>
    <xf numFmtId="0" fontId="4" fillId="0" borderId="0" xfId="56" applyFont="1" applyFill="1" applyAlignment="1" applyProtection="1">
      <alignment horizontal="centerContinuous"/>
      <protection/>
    </xf>
    <xf numFmtId="0" fontId="4" fillId="0" borderId="0" xfId="56" applyFont="1" applyFill="1" applyAlignment="1">
      <alignment horizontal="centerContinuous"/>
      <protection/>
    </xf>
    <xf numFmtId="0" fontId="4" fillId="0" borderId="11" xfId="56" applyFont="1" applyFill="1" applyBorder="1" applyAlignment="1">
      <alignment horizontal="centerContinuous" vertical="center"/>
      <protection/>
    </xf>
    <xf numFmtId="0" fontId="4" fillId="0" borderId="18" xfId="56" applyFont="1" applyFill="1" applyBorder="1" applyAlignment="1">
      <alignment horizontal="centerContinuous" vertical="center"/>
      <protection/>
    </xf>
    <xf numFmtId="0" fontId="4" fillId="0" borderId="12" xfId="56" applyFont="1" applyFill="1" applyBorder="1">
      <alignment/>
      <protection/>
    </xf>
    <xf numFmtId="0" fontId="4" fillId="0" borderId="0" xfId="56" applyFont="1" applyFill="1" applyBorder="1">
      <alignment/>
      <protection/>
    </xf>
    <xf numFmtId="0" fontId="4" fillId="0" borderId="14" xfId="56" applyFont="1" applyFill="1" applyBorder="1" applyAlignment="1" applyProtection="1">
      <alignment horizontal="center" vertical="center"/>
      <protection/>
    </xf>
    <xf numFmtId="170" fontId="8" fillId="0" borderId="19" xfId="56" applyNumberFormat="1" applyFont="1" applyFill="1" applyBorder="1">
      <alignment/>
      <protection/>
    </xf>
    <xf numFmtId="0" fontId="4" fillId="0" borderId="12" xfId="56" applyFont="1" applyFill="1" applyBorder="1" applyAlignment="1" applyProtection="1">
      <alignment horizontal="left"/>
      <protection/>
    </xf>
    <xf numFmtId="181" fontId="4" fillId="0" borderId="0" xfId="56" applyNumberFormat="1" applyFont="1" applyFill="1" applyBorder="1">
      <alignment/>
      <protection/>
    </xf>
    <xf numFmtId="0" fontId="5" fillId="0" borderId="0" xfId="56" applyFont="1" applyFill="1" applyAlignment="1" quotePrefix="1">
      <alignment horizontal="left"/>
      <protection/>
    </xf>
    <xf numFmtId="0" fontId="4" fillId="0" borderId="0" xfId="56" applyFont="1" applyFill="1">
      <alignment/>
      <protection/>
    </xf>
    <xf numFmtId="0" fontId="5" fillId="0" borderId="0" xfId="56" applyFont="1" applyFill="1" applyAlignment="1" applyProtection="1">
      <alignment horizontal="left"/>
      <protection/>
    </xf>
    <xf numFmtId="170" fontId="4" fillId="0" borderId="0" xfId="56" applyNumberFormat="1" applyFont="1" applyFill="1">
      <alignment/>
      <protection/>
    </xf>
    <xf numFmtId="181" fontId="14" fillId="0" borderId="0" xfId="56" applyNumberFormat="1" applyFont="1" applyFill="1">
      <alignment/>
      <protection/>
    </xf>
    <xf numFmtId="0" fontId="14" fillId="0" borderId="0" xfId="56" applyFont="1" applyFill="1">
      <alignment/>
      <protection/>
    </xf>
    <xf numFmtId="38" fontId="8" fillId="0" borderId="15" xfId="47" applyFont="1" applyFill="1" applyBorder="1" applyAlignment="1">
      <alignment/>
    </xf>
    <xf numFmtId="181" fontId="4" fillId="0" borderId="0" xfId="56" applyNumberFormat="1" applyFont="1" applyFill="1">
      <alignment/>
      <protection/>
    </xf>
    <xf numFmtId="0" fontId="13" fillId="0" borderId="10" xfId="50" applyFont="1" applyFill="1" applyBorder="1" applyAlignment="1">
      <alignment horizontal="centerContinuous" vertical="center"/>
      <protection/>
    </xf>
    <xf numFmtId="0" fontId="4" fillId="0" borderId="11" xfId="50" applyFont="1" applyFill="1" applyBorder="1" applyAlignment="1">
      <alignment horizontal="centerContinuous"/>
      <protection/>
    </xf>
    <xf numFmtId="0" fontId="7" fillId="0" borderId="20" xfId="50" applyFont="1" applyFill="1" applyBorder="1" applyAlignment="1" applyProtection="1">
      <alignment horizontal="centerContinuous" vertical="center"/>
      <protection/>
    </xf>
    <xf numFmtId="0" fontId="7" fillId="0" borderId="21" xfId="50" applyFont="1" applyFill="1" applyBorder="1" applyAlignment="1">
      <alignment horizontal="centerContinuous" vertical="center"/>
      <protection/>
    </xf>
    <xf numFmtId="0" fontId="7" fillId="0" borderId="17" xfId="50" applyFont="1" applyFill="1" applyBorder="1" applyAlignment="1" applyProtection="1">
      <alignment horizontal="centerContinuous" vertical="center"/>
      <protection/>
    </xf>
    <xf numFmtId="0" fontId="7" fillId="0" borderId="17" xfId="50" applyFont="1" applyFill="1" applyBorder="1" applyAlignment="1" applyProtection="1">
      <alignment vertical="center"/>
      <protection/>
    </xf>
    <xf numFmtId="0" fontId="7" fillId="0" borderId="22" xfId="50" applyFont="1" applyFill="1" applyBorder="1" applyAlignment="1">
      <alignment vertical="center"/>
      <protection/>
    </xf>
    <xf numFmtId="0" fontId="4" fillId="0" borderId="12" xfId="50" applyFont="1" applyFill="1" applyBorder="1">
      <alignment/>
      <protection/>
    </xf>
    <xf numFmtId="0" fontId="4" fillId="0" borderId="0" xfId="50" applyFont="1" applyFill="1" applyBorder="1">
      <alignment/>
      <protection/>
    </xf>
    <xf numFmtId="0" fontId="7" fillId="0" borderId="12" xfId="50" applyFont="1" applyFill="1" applyBorder="1" applyAlignment="1" applyProtection="1">
      <alignment horizontal="left"/>
      <protection/>
    </xf>
    <xf numFmtId="0" fontId="7" fillId="0" borderId="12" xfId="50" applyFont="1" applyFill="1" applyBorder="1">
      <alignment/>
      <protection/>
    </xf>
    <xf numFmtId="0" fontId="4" fillId="0" borderId="16" xfId="50" applyFont="1" applyFill="1" applyBorder="1">
      <alignment/>
      <protection/>
    </xf>
    <xf numFmtId="0" fontId="4" fillId="0" borderId="23" xfId="50" applyFont="1" applyFill="1" applyBorder="1">
      <alignment/>
      <protection/>
    </xf>
    <xf numFmtId="0" fontId="4" fillId="0" borderId="0" xfId="49" applyFont="1" applyFill="1" applyAlignment="1">
      <alignment horizontal="centerContinuous"/>
      <protection/>
    </xf>
    <xf numFmtId="0" fontId="4" fillId="0" borderId="0" xfId="0" applyFont="1" applyFill="1" applyAlignment="1">
      <alignment horizontal="centerContinuous"/>
    </xf>
    <xf numFmtId="0" fontId="4" fillId="0" borderId="17" xfId="0" applyFont="1" applyFill="1" applyBorder="1" applyAlignment="1">
      <alignment/>
    </xf>
    <xf numFmtId="0" fontId="4" fillId="0" borderId="12" xfId="0" applyFont="1" applyFill="1" applyBorder="1" applyAlignment="1" quotePrefix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 horizontal="centerContinuous"/>
    </xf>
    <xf numFmtId="0" fontId="5" fillId="0" borderId="25" xfId="0" applyFont="1" applyFill="1" applyBorder="1" applyAlignment="1">
      <alignment horizontal="centerContinuous"/>
    </xf>
    <xf numFmtId="0" fontId="5" fillId="0" borderId="26" xfId="0" applyFont="1" applyFill="1" applyBorder="1" applyAlignment="1">
      <alignment horizontal="centerContinuous"/>
    </xf>
    <xf numFmtId="0" fontId="5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191" fontId="7" fillId="0" borderId="32" xfId="0" applyNumberFormat="1" applyFont="1" applyFill="1" applyBorder="1" applyAlignment="1" applyProtection="1">
      <alignment horizontal="center"/>
      <protection/>
    </xf>
    <xf numFmtId="38" fontId="9" fillId="0" borderId="33" xfId="47" applyFont="1" applyFill="1" applyBorder="1" applyAlignment="1">
      <alignment/>
    </xf>
    <xf numFmtId="38" fontId="9" fillId="0" borderId="20" xfId="47" applyFont="1" applyFill="1" applyBorder="1" applyAlignment="1">
      <alignment/>
    </xf>
    <xf numFmtId="38" fontId="9" fillId="0" borderId="34" xfId="47" applyFont="1" applyFill="1" applyBorder="1" applyAlignment="1">
      <alignment/>
    </xf>
    <xf numFmtId="191" fontId="4" fillId="0" borderId="12" xfId="0" applyNumberFormat="1" applyFont="1" applyFill="1" applyBorder="1" applyAlignment="1" applyProtection="1">
      <alignment horizontal="left"/>
      <protection/>
    </xf>
    <xf numFmtId="191" fontId="4" fillId="0" borderId="16" xfId="0" applyNumberFormat="1" applyFont="1" applyFill="1" applyBorder="1" applyAlignment="1" applyProtection="1">
      <alignment horizontal="left"/>
      <protection/>
    </xf>
    <xf numFmtId="0" fontId="4" fillId="0" borderId="0" xfId="52" applyFont="1" applyFill="1" applyAlignment="1" applyProtection="1">
      <alignment horizontal="centerContinuous"/>
      <protection/>
    </xf>
    <xf numFmtId="0" fontId="4" fillId="0" borderId="0" xfId="52" applyFont="1" applyFill="1" applyAlignment="1">
      <alignment horizontal="centerContinuous"/>
      <protection/>
    </xf>
    <xf numFmtId="0" fontId="4" fillId="0" borderId="0" xfId="52" applyFont="1" applyFill="1" applyAlignment="1" applyProtection="1">
      <alignment horizontal="left"/>
      <protection/>
    </xf>
    <xf numFmtId="0" fontId="4" fillId="0" borderId="0" xfId="52" applyFont="1" applyFill="1">
      <alignment/>
      <protection/>
    </xf>
    <xf numFmtId="0" fontId="7" fillId="0" borderId="10" xfId="52" applyFont="1" applyFill="1" applyBorder="1" applyAlignment="1" applyProtection="1">
      <alignment horizontal="centerContinuous" vertical="center"/>
      <protection/>
    </xf>
    <xf numFmtId="0" fontId="4" fillId="0" borderId="11" xfId="52" applyFont="1" applyFill="1" applyBorder="1" applyAlignment="1">
      <alignment horizontal="centerContinuous" vertical="center"/>
      <protection/>
    </xf>
    <xf numFmtId="0" fontId="4" fillId="0" borderId="12" xfId="52" applyFont="1" applyFill="1" applyBorder="1">
      <alignment/>
      <protection/>
    </xf>
    <xf numFmtId="0" fontId="4" fillId="0" borderId="0" xfId="52" applyFont="1" applyFill="1" applyBorder="1">
      <alignment/>
      <protection/>
    </xf>
    <xf numFmtId="0" fontId="4" fillId="0" borderId="35" xfId="52" applyFont="1" applyFill="1" applyBorder="1" applyAlignment="1">
      <alignment horizontal="center"/>
      <protection/>
    </xf>
    <xf numFmtId="0" fontId="4" fillId="0" borderId="12" xfId="52" applyFont="1" applyFill="1" applyBorder="1" applyAlignment="1" applyProtection="1">
      <alignment horizontal="left"/>
      <protection/>
    </xf>
    <xf numFmtId="2" fontId="8" fillId="0" borderId="35" xfId="52" applyNumberFormat="1" applyFont="1" applyFill="1" applyBorder="1" applyAlignment="1">
      <alignment horizontal="center"/>
      <protection/>
    </xf>
    <xf numFmtId="0" fontId="4" fillId="0" borderId="16" xfId="52" applyFont="1" applyFill="1" applyBorder="1" applyAlignment="1" applyProtection="1">
      <alignment horizontal="left"/>
      <protection/>
    </xf>
    <xf numFmtId="0" fontId="4" fillId="0" borderId="23" xfId="52" applyFont="1" applyFill="1" applyBorder="1">
      <alignment/>
      <protection/>
    </xf>
    <xf numFmtId="0" fontId="5" fillId="0" borderId="0" xfId="52" applyFont="1" applyFill="1" applyAlignment="1" applyProtection="1">
      <alignment horizontal="left"/>
      <protection/>
    </xf>
    <xf numFmtId="0" fontId="4" fillId="0" borderId="0" xfId="51" applyFont="1" applyFill="1" applyAlignment="1" applyProtection="1">
      <alignment horizontal="centerContinuous"/>
      <protection/>
    </xf>
    <xf numFmtId="0" fontId="4" fillId="0" borderId="0" xfId="51" applyFont="1" applyFill="1" applyAlignment="1">
      <alignment horizontal="centerContinuous"/>
      <protection/>
    </xf>
    <xf numFmtId="0" fontId="7" fillId="0" borderId="10" xfId="51" applyFont="1" applyFill="1" applyBorder="1" applyAlignment="1" applyProtection="1">
      <alignment horizontal="centerContinuous" vertical="center"/>
      <protection/>
    </xf>
    <xf numFmtId="0" fontId="7" fillId="0" borderId="11" xfId="51" applyFont="1" applyFill="1" applyBorder="1" applyAlignment="1">
      <alignment horizontal="centerContinuous" vertical="center"/>
      <protection/>
    </xf>
    <xf numFmtId="0" fontId="4" fillId="0" borderId="11" xfId="51" applyFont="1" applyFill="1" applyBorder="1" applyAlignment="1">
      <alignment horizontal="center" vertical="center"/>
      <protection/>
    </xf>
    <xf numFmtId="0" fontId="4" fillId="0" borderId="12" xfId="51" applyFont="1" applyFill="1" applyBorder="1" applyAlignment="1" applyProtection="1" quotePrefix="1">
      <alignment horizontal="left"/>
      <protection/>
    </xf>
    <xf numFmtId="0" fontId="4" fillId="0" borderId="0" xfId="51" applyFont="1" applyFill="1" applyBorder="1">
      <alignment/>
      <protection/>
    </xf>
    <xf numFmtId="0" fontId="4" fillId="0" borderId="35" xfId="51" applyFont="1" applyFill="1" applyBorder="1">
      <alignment/>
      <protection/>
    </xf>
    <xf numFmtId="0" fontId="4" fillId="0" borderId="12" xfId="51" applyFont="1" applyFill="1" applyBorder="1" applyAlignment="1" applyProtection="1">
      <alignment horizontal="left"/>
      <protection/>
    </xf>
    <xf numFmtId="3" fontId="8" fillId="0" borderId="35" xfId="51" applyNumberFormat="1" applyFont="1" applyFill="1" applyBorder="1">
      <alignment/>
      <protection/>
    </xf>
    <xf numFmtId="3" fontId="8" fillId="0" borderId="35" xfId="51" applyNumberFormat="1" applyFont="1" applyFill="1" applyBorder="1">
      <alignment/>
      <protection/>
    </xf>
    <xf numFmtId="0" fontId="4" fillId="0" borderId="12" xfId="51" applyFont="1" applyFill="1" applyBorder="1">
      <alignment/>
      <protection/>
    </xf>
    <xf numFmtId="0" fontId="4" fillId="0" borderId="0" xfId="51" applyFont="1" applyFill="1" applyBorder="1" applyAlignment="1" applyProtection="1">
      <alignment horizontal="left"/>
      <protection/>
    </xf>
    <xf numFmtId="3" fontId="8" fillId="0" borderId="35" xfId="51" applyNumberFormat="1" applyFont="1" applyFill="1" applyBorder="1" applyProtection="1">
      <alignment/>
      <protection/>
    </xf>
    <xf numFmtId="0" fontId="4" fillId="0" borderId="16" xfId="51" applyFont="1" applyFill="1" applyBorder="1">
      <alignment/>
      <protection/>
    </xf>
    <xf numFmtId="0" fontId="4" fillId="0" borderId="23" xfId="51" applyFont="1" applyFill="1" applyBorder="1" applyAlignment="1" applyProtection="1">
      <alignment horizontal="left"/>
      <protection/>
    </xf>
    <xf numFmtId="3" fontId="8" fillId="0" borderId="36" xfId="51" applyNumberFormat="1" applyFont="1" applyFill="1" applyBorder="1" applyProtection="1">
      <alignment/>
      <protection/>
    </xf>
    <xf numFmtId="0" fontId="5" fillId="0" borderId="0" xfId="51" applyFont="1" applyFill="1" applyAlignment="1" applyProtection="1">
      <alignment horizontal="left"/>
      <protection/>
    </xf>
    <xf numFmtId="0" fontId="4" fillId="0" borderId="0" xfId="51" applyFont="1" applyFill="1">
      <alignment/>
      <protection/>
    </xf>
    <xf numFmtId="3" fontId="4" fillId="0" borderId="0" xfId="51" applyNumberFormat="1" applyFont="1" applyFill="1">
      <alignment/>
      <protection/>
    </xf>
    <xf numFmtId="170" fontId="4" fillId="0" borderId="0" xfId="51" applyNumberFormat="1" applyFont="1" applyFill="1">
      <alignment/>
      <protection/>
    </xf>
    <xf numFmtId="0" fontId="4" fillId="0" borderId="0" xfId="50" applyFont="1" applyFill="1" applyAlignment="1" applyProtection="1">
      <alignment horizontal="centerContinuous"/>
      <protection/>
    </xf>
    <xf numFmtId="0" fontId="4" fillId="0" borderId="0" xfId="50" applyFont="1" applyFill="1" applyAlignment="1">
      <alignment horizontal="centerContinuous"/>
      <protection/>
    </xf>
    <xf numFmtId="0" fontId="4" fillId="0" borderId="0" xfId="50" applyFont="1" applyFill="1">
      <alignment/>
      <protection/>
    </xf>
    <xf numFmtId="0" fontId="4" fillId="0" borderId="0" xfId="50" applyFont="1" applyFill="1" applyAlignment="1" applyProtection="1" quotePrefix="1">
      <alignment horizontal="left"/>
      <protection/>
    </xf>
    <xf numFmtId="0" fontId="4" fillId="0" borderId="0" xfId="50" applyFont="1" applyFill="1" applyAlignment="1" applyProtection="1">
      <alignment horizontal="left"/>
      <protection/>
    </xf>
    <xf numFmtId="0" fontId="7" fillId="0" borderId="0" xfId="50" applyFont="1" applyFill="1" applyBorder="1" applyAlignment="1">
      <alignment horizontal="centerContinuous" vertical="center"/>
      <protection/>
    </xf>
    <xf numFmtId="0" fontId="4" fillId="0" borderId="0" xfId="50" applyFont="1" applyFill="1" applyAlignment="1" applyProtection="1">
      <alignment/>
      <protection/>
    </xf>
    <xf numFmtId="0" fontId="4" fillId="0" borderId="0" xfId="50" applyFont="1" applyFill="1" applyAlignment="1" applyProtection="1">
      <alignment horizontal="center"/>
      <protection/>
    </xf>
    <xf numFmtId="0" fontId="5" fillId="0" borderId="0" xfId="50" applyFont="1" applyFill="1">
      <alignment/>
      <protection/>
    </xf>
    <xf numFmtId="187" fontId="5" fillId="0" borderId="0" xfId="50" applyNumberFormat="1" applyFont="1" applyFill="1" applyBorder="1" applyAlignment="1">
      <alignment horizontal="right"/>
      <protection/>
    </xf>
    <xf numFmtId="3" fontId="4" fillId="0" borderId="0" xfId="50" applyNumberFormat="1" applyFont="1" applyFill="1" applyBorder="1" applyAlignment="1">
      <alignment horizontal="right"/>
      <protection/>
    </xf>
    <xf numFmtId="0" fontId="4" fillId="0" borderId="0" xfId="49" applyFont="1" applyFill="1" applyAlignment="1" applyProtection="1">
      <alignment horizontal="centerContinuous"/>
      <protection/>
    </xf>
    <xf numFmtId="0" fontId="5" fillId="0" borderId="0" xfId="49" applyFont="1" applyFill="1">
      <alignment/>
      <protection/>
    </xf>
    <xf numFmtId="0" fontId="5" fillId="0" borderId="0" xfId="0" applyFont="1" applyFill="1" applyAlignment="1">
      <alignment horizontal="centerContinuous"/>
    </xf>
    <xf numFmtId="0" fontId="11" fillId="0" borderId="0" xfId="0" applyFont="1" applyFill="1" applyAlignment="1">
      <alignment/>
    </xf>
    <xf numFmtId="0" fontId="7" fillId="0" borderId="10" xfId="0" applyFont="1" applyFill="1" applyBorder="1" applyAlignment="1" applyProtection="1">
      <alignment horizontal="centerContinuous" vertical="center" wrapText="1"/>
      <protection/>
    </xf>
    <xf numFmtId="0" fontId="4" fillId="0" borderId="11" xfId="0" applyFont="1" applyFill="1" applyBorder="1" applyAlignment="1">
      <alignment horizontal="centerContinuous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left"/>
      <protection/>
    </xf>
    <xf numFmtId="3" fontId="8" fillId="0" borderId="35" xfId="0" applyNumberFormat="1" applyFont="1" applyFill="1" applyBorder="1" applyAlignment="1">
      <alignment/>
    </xf>
    <xf numFmtId="3" fontId="8" fillId="0" borderId="35" xfId="0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16" xfId="0" applyFont="1" applyFill="1" applyBorder="1" applyAlignment="1" applyProtection="1">
      <alignment horizontal="left"/>
      <protection/>
    </xf>
    <xf numFmtId="3" fontId="8" fillId="0" borderId="36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4" fillId="0" borderId="0" xfId="58" applyFont="1" applyFill="1" applyAlignment="1" applyProtection="1">
      <alignment horizontal="centerContinuous"/>
      <protection/>
    </xf>
    <xf numFmtId="0" fontId="4" fillId="0" borderId="0" xfId="58" applyFont="1" applyFill="1" applyAlignment="1">
      <alignment horizontal="centerContinuous"/>
      <protection/>
    </xf>
    <xf numFmtId="0" fontId="7" fillId="0" borderId="10" xfId="58" applyFont="1" applyFill="1" applyBorder="1" applyAlignment="1" applyProtection="1">
      <alignment horizontal="centerContinuous" vertical="center"/>
      <protection/>
    </xf>
    <xf numFmtId="0" fontId="7" fillId="0" borderId="11" xfId="58" applyFont="1" applyFill="1" applyBorder="1" applyAlignment="1">
      <alignment horizontal="centerContinuous" vertical="center"/>
      <protection/>
    </xf>
    <xf numFmtId="0" fontId="4" fillId="0" borderId="12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7" fillId="0" borderId="12" xfId="58" applyFont="1" applyFill="1" applyBorder="1" applyAlignment="1" applyProtection="1">
      <alignment horizontal="left"/>
      <protection/>
    </xf>
    <xf numFmtId="0" fontId="4" fillId="0" borderId="0" xfId="58" applyFont="1" applyFill="1" applyBorder="1">
      <alignment/>
      <protection/>
    </xf>
    <xf numFmtId="0" fontId="4" fillId="0" borderId="12" xfId="58" applyFont="1" applyFill="1" applyBorder="1" applyAlignment="1" applyProtection="1">
      <alignment horizontal="left"/>
      <protection/>
    </xf>
    <xf numFmtId="3" fontId="8" fillId="0" borderId="15" xfId="58" applyNumberFormat="1" applyFont="1" applyFill="1" applyBorder="1">
      <alignment/>
      <protection/>
    </xf>
    <xf numFmtId="0" fontId="4" fillId="0" borderId="12" xfId="58" applyFont="1" applyFill="1" applyBorder="1">
      <alignment/>
      <protection/>
    </xf>
    <xf numFmtId="0" fontId="4" fillId="0" borderId="0" xfId="58" applyFont="1" applyFill="1" applyAlignment="1" applyProtection="1">
      <alignment horizontal="left"/>
      <protection/>
    </xf>
    <xf numFmtId="0" fontId="4" fillId="0" borderId="0" xfId="58" applyFont="1" applyFill="1">
      <alignment/>
      <protection/>
    </xf>
    <xf numFmtId="0" fontId="5" fillId="0" borderId="0" xfId="58" applyFont="1" applyFill="1" applyAlignment="1" applyProtection="1">
      <alignment horizontal="left"/>
      <protection/>
    </xf>
    <xf numFmtId="170" fontId="4" fillId="0" borderId="0" xfId="58" applyNumberFormat="1" applyFont="1" applyFill="1">
      <alignment/>
      <protection/>
    </xf>
    <xf numFmtId="0" fontId="5" fillId="0" borderId="0" xfId="58" applyFont="1" applyFill="1">
      <alignment/>
      <protection/>
    </xf>
    <xf numFmtId="3" fontId="4" fillId="0" borderId="0" xfId="58" applyNumberFormat="1" applyFont="1" applyFill="1">
      <alignment/>
      <protection/>
    </xf>
    <xf numFmtId="3" fontId="5" fillId="0" borderId="0" xfId="58" applyNumberFormat="1" applyFont="1" applyFill="1">
      <alignment/>
      <protection/>
    </xf>
    <xf numFmtId="0" fontId="4" fillId="0" borderId="0" xfId="57" applyFont="1" applyFill="1" applyAlignment="1" applyProtection="1">
      <alignment horizontal="centerContinuous"/>
      <protection/>
    </xf>
    <xf numFmtId="0" fontId="4" fillId="0" borderId="0" xfId="57" applyFont="1" applyFill="1" applyAlignment="1">
      <alignment horizontal="centerContinuous"/>
      <protection/>
    </xf>
    <xf numFmtId="0" fontId="7" fillId="0" borderId="10" xfId="57" applyFont="1" applyFill="1" applyBorder="1" applyAlignment="1" applyProtection="1">
      <alignment horizontal="centerContinuous" vertical="center"/>
      <protection/>
    </xf>
    <xf numFmtId="0" fontId="7" fillId="0" borderId="11" xfId="57" applyFont="1" applyFill="1" applyBorder="1" applyAlignment="1">
      <alignment horizontal="centerContinuous" vertical="center"/>
      <protection/>
    </xf>
    <xf numFmtId="0" fontId="4" fillId="0" borderId="37" xfId="57" applyFont="1" applyFill="1" applyBorder="1" applyAlignment="1">
      <alignment horizontal="centerContinuous" vertical="center"/>
      <protection/>
    </xf>
    <xf numFmtId="0" fontId="4" fillId="0" borderId="38" xfId="57" applyFont="1" applyFill="1" applyBorder="1" applyAlignment="1">
      <alignment horizontal="centerContinuous" vertical="center"/>
      <protection/>
    </xf>
    <xf numFmtId="0" fontId="4" fillId="0" borderId="12" xfId="57" applyFont="1" applyFill="1" applyBorder="1">
      <alignment/>
      <protection/>
    </xf>
    <xf numFmtId="0" fontId="4" fillId="0" borderId="0" xfId="57" applyFont="1" applyFill="1" applyBorder="1">
      <alignment/>
      <protection/>
    </xf>
    <xf numFmtId="0" fontId="4" fillId="0" borderId="14" xfId="57" applyFont="1" applyFill="1" applyBorder="1" applyAlignment="1" applyProtection="1">
      <alignment horizontal="center" vertical="center"/>
      <protection/>
    </xf>
    <xf numFmtId="0" fontId="4" fillId="0" borderId="39" xfId="57" applyFont="1" applyFill="1" applyBorder="1" applyAlignment="1" applyProtection="1">
      <alignment horizontal="center" vertical="center"/>
      <protection/>
    </xf>
    <xf numFmtId="0" fontId="4" fillId="0" borderId="13" xfId="57" applyFont="1" applyFill="1" applyBorder="1" applyAlignment="1" applyProtection="1">
      <alignment horizontal="center" vertical="center"/>
      <protection/>
    </xf>
    <xf numFmtId="0" fontId="7" fillId="0" borderId="12" xfId="57" applyFont="1" applyFill="1" applyBorder="1" applyAlignment="1" applyProtection="1">
      <alignment horizontal="left"/>
      <protection/>
    </xf>
    <xf numFmtId="3" fontId="8" fillId="0" borderId="15" xfId="57" applyNumberFormat="1" applyFont="1" applyFill="1" applyBorder="1" applyProtection="1">
      <alignment/>
      <protection/>
    </xf>
    <xf numFmtId="170" fontId="8" fillId="0" borderId="19" xfId="57" applyNumberFormat="1" applyFont="1" applyFill="1" applyBorder="1">
      <alignment/>
      <protection/>
    </xf>
    <xf numFmtId="3" fontId="8" fillId="0" borderId="0" xfId="57" applyNumberFormat="1" applyFont="1" applyFill="1" applyBorder="1" applyProtection="1">
      <alignment/>
      <protection/>
    </xf>
    <xf numFmtId="0" fontId="4" fillId="0" borderId="12" xfId="57" applyFont="1" applyFill="1" applyBorder="1" applyAlignment="1" applyProtection="1">
      <alignment horizontal="left"/>
      <protection/>
    </xf>
    <xf numFmtId="3" fontId="8" fillId="0" borderId="0" xfId="57" applyNumberFormat="1" applyFont="1" applyFill="1" applyBorder="1">
      <alignment/>
      <protection/>
    </xf>
    <xf numFmtId="0" fontId="4" fillId="0" borderId="16" xfId="57" applyFont="1" applyFill="1" applyBorder="1" applyAlignment="1" applyProtection="1">
      <alignment horizontal="centerContinuous"/>
      <protection/>
    </xf>
    <xf numFmtId="3" fontId="8" fillId="0" borderId="23" xfId="57" applyNumberFormat="1" applyFont="1" applyFill="1" applyBorder="1" applyProtection="1">
      <alignment/>
      <protection/>
    </xf>
    <xf numFmtId="170" fontId="8" fillId="0" borderId="40" xfId="57" applyNumberFormat="1" applyFont="1" applyFill="1" applyBorder="1">
      <alignment/>
      <protection/>
    </xf>
    <xf numFmtId="0" fontId="4" fillId="0" borderId="0" xfId="57" applyFont="1" applyFill="1" applyAlignment="1" applyProtection="1">
      <alignment horizontal="left"/>
      <protection/>
    </xf>
    <xf numFmtId="0" fontId="4" fillId="0" borderId="0" xfId="57" applyFont="1" applyFill="1">
      <alignment/>
      <protection/>
    </xf>
    <xf numFmtId="0" fontId="5" fillId="0" borderId="0" xfId="57" applyFont="1" applyFill="1">
      <alignment/>
      <protection/>
    </xf>
    <xf numFmtId="170" fontId="5" fillId="0" borderId="0" xfId="57" applyNumberFormat="1" applyFont="1" applyFill="1">
      <alignment/>
      <protection/>
    </xf>
    <xf numFmtId="170" fontId="4" fillId="0" borderId="0" xfId="57" applyNumberFormat="1" applyFont="1" applyFill="1">
      <alignment/>
      <protection/>
    </xf>
    <xf numFmtId="0" fontId="4" fillId="0" borderId="0" xfId="55" applyFont="1" applyFill="1" applyAlignment="1">
      <alignment horizontal="centerContinuous"/>
      <protection/>
    </xf>
    <xf numFmtId="0" fontId="4" fillId="0" borderId="0" xfId="55" applyFont="1" applyFill="1" applyAlignment="1" applyProtection="1">
      <alignment horizontal="centerContinuous"/>
      <protection/>
    </xf>
    <xf numFmtId="0" fontId="4" fillId="0" borderId="17" xfId="55" applyFont="1" applyFill="1" applyBorder="1">
      <alignment/>
      <protection/>
    </xf>
    <xf numFmtId="0" fontId="7" fillId="0" borderId="41" xfId="55" applyFont="1" applyFill="1" applyBorder="1" applyAlignment="1">
      <alignment horizontal="right" vertical="center"/>
      <protection/>
    </xf>
    <xf numFmtId="0" fontId="4" fillId="0" borderId="14" xfId="55" applyFont="1" applyFill="1" applyBorder="1">
      <alignment/>
      <protection/>
    </xf>
    <xf numFmtId="0" fontId="4" fillId="0" borderId="12" xfId="55" applyFont="1" applyFill="1" applyBorder="1" quotePrefix="1">
      <alignment/>
      <protection/>
    </xf>
    <xf numFmtId="0" fontId="4" fillId="0" borderId="0" xfId="55" applyFont="1" applyFill="1" applyBorder="1">
      <alignment/>
      <protection/>
    </xf>
    <xf numFmtId="0" fontId="7" fillId="0" borderId="12" xfId="55" applyFont="1" applyFill="1" applyBorder="1">
      <alignment/>
      <protection/>
    </xf>
    <xf numFmtId="0" fontId="4" fillId="0" borderId="16" xfId="55" applyFont="1" applyFill="1" applyBorder="1">
      <alignment/>
      <protection/>
    </xf>
    <xf numFmtId="0" fontId="5" fillId="0" borderId="0" xfId="55" applyFont="1" applyFill="1" applyAlignment="1" quotePrefix="1">
      <alignment horizontal="left"/>
      <protection/>
    </xf>
    <xf numFmtId="0" fontId="4" fillId="0" borderId="0" xfId="55" applyFont="1" applyFill="1">
      <alignment/>
      <protection/>
    </xf>
    <xf numFmtId="3" fontId="4" fillId="0" borderId="0" xfId="55" applyNumberFormat="1" applyFont="1" applyFill="1">
      <alignment/>
      <protection/>
    </xf>
    <xf numFmtId="188" fontId="4" fillId="0" borderId="0" xfId="55" applyNumberFormat="1" applyFont="1" applyFill="1">
      <alignment/>
      <protection/>
    </xf>
    <xf numFmtId="0" fontId="4" fillId="0" borderId="0" xfId="55" applyFont="1" applyFill="1" applyBorder="1" applyAlignment="1">
      <alignment horizontal="centerContinuous"/>
      <protection/>
    </xf>
    <xf numFmtId="0" fontId="4" fillId="0" borderId="32" xfId="55" applyFont="1" applyFill="1" applyBorder="1" quotePrefix="1">
      <alignment/>
      <protection/>
    </xf>
    <xf numFmtId="0" fontId="4" fillId="0" borderId="23" xfId="55" applyFont="1" applyFill="1" applyBorder="1">
      <alignment/>
      <protection/>
    </xf>
    <xf numFmtId="0" fontId="5" fillId="0" borderId="0" xfId="55" applyFont="1" applyFill="1">
      <alignment/>
      <protection/>
    </xf>
    <xf numFmtId="9" fontId="4" fillId="0" borderId="0" xfId="61" applyFont="1" applyFill="1" applyAlignment="1">
      <alignment/>
    </xf>
    <xf numFmtId="0" fontId="7" fillId="0" borderId="10" xfId="54" applyFont="1" applyFill="1" applyBorder="1" applyAlignment="1" applyProtection="1">
      <alignment horizontal="centerContinuous" vertical="center"/>
      <protection/>
    </xf>
    <xf numFmtId="0" fontId="4" fillId="0" borderId="11" xfId="54" applyFont="1" applyFill="1" applyBorder="1" applyAlignment="1">
      <alignment horizontal="centerContinuous" vertical="center"/>
      <protection/>
    </xf>
    <xf numFmtId="0" fontId="4" fillId="0" borderId="18" xfId="54" applyFont="1" applyFill="1" applyBorder="1" applyAlignment="1">
      <alignment horizontal="centerContinuous" vertical="center"/>
      <protection/>
    </xf>
    <xf numFmtId="0" fontId="4" fillId="0" borderId="38" xfId="54" applyFont="1" applyFill="1" applyBorder="1" applyAlignment="1" quotePrefix="1">
      <alignment horizontal="centerContinuous" vertical="center"/>
      <protection/>
    </xf>
    <xf numFmtId="0" fontId="4" fillId="0" borderId="12" xfId="54" applyFont="1" applyFill="1" applyBorder="1">
      <alignment/>
      <protection/>
    </xf>
    <xf numFmtId="0" fontId="4" fillId="0" borderId="0" xfId="54" applyFont="1" applyFill="1" applyBorder="1">
      <alignment/>
      <protection/>
    </xf>
    <xf numFmtId="0" fontId="7" fillId="0" borderId="12" xfId="54" applyFont="1" applyFill="1" applyBorder="1" applyAlignment="1" applyProtection="1">
      <alignment horizontal="left"/>
      <protection/>
    </xf>
    <xf numFmtId="0" fontId="4" fillId="0" borderId="12" xfId="54" applyFont="1" applyFill="1" applyBorder="1" applyAlignment="1" applyProtection="1">
      <alignment horizontal="left"/>
      <protection/>
    </xf>
    <xf numFmtId="0" fontId="4" fillId="0" borderId="0" xfId="54" applyFont="1" applyFill="1" applyBorder="1" applyAlignment="1" applyProtection="1">
      <alignment horizontal="left"/>
      <protection/>
    </xf>
    <xf numFmtId="0" fontId="4" fillId="0" borderId="16" xfId="54" applyFont="1" applyFill="1" applyBorder="1">
      <alignment/>
      <protection/>
    </xf>
    <xf numFmtId="0" fontId="5" fillId="0" borderId="0" xfId="54" applyFont="1" applyFill="1" applyAlignment="1" applyProtection="1">
      <alignment horizontal="left"/>
      <protection/>
    </xf>
    <xf numFmtId="170" fontId="8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94" fontId="4" fillId="0" borderId="0" xfId="61" applyNumberFormat="1" applyFont="1" applyFill="1" applyBorder="1" applyAlignment="1">
      <alignment horizontal="right"/>
    </xf>
    <xf numFmtId="3" fontId="8" fillId="0" borderId="42" xfId="57" applyNumberFormat="1" applyFont="1" applyFill="1" applyBorder="1" applyProtection="1">
      <alignment/>
      <protection/>
    </xf>
    <xf numFmtId="0" fontId="10" fillId="0" borderId="0" xfId="55" applyFont="1" applyFill="1" applyAlignment="1">
      <alignment horizontal="centerContinuous"/>
      <protection/>
    </xf>
    <xf numFmtId="181" fontId="8" fillId="0" borderId="42" xfId="56" applyNumberFormat="1" applyFont="1" applyFill="1" applyBorder="1" applyProtection="1">
      <alignment/>
      <protection/>
    </xf>
    <xf numFmtId="170" fontId="8" fillId="0" borderId="40" xfId="56" applyNumberFormat="1" applyFont="1" applyFill="1" applyBorder="1">
      <alignment/>
      <protection/>
    </xf>
    <xf numFmtId="38" fontId="4" fillId="0" borderId="0" xfId="56" applyNumberFormat="1" applyFont="1" applyFill="1">
      <alignment/>
      <protection/>
    </xf>
    <xf numFmtId="40" fontId="8" fillId="0" borderId="43" xfId="47" applyNumberFormat="1" applyFont="1" applyFill="1" applyBorder="1" applyAlignment="1">
      <alignment/>
    </xf>
    <xf numFmtId="40" fontId="8" fillId="0" borderId="15" xfId="47" applyNumberFormat="1" applyFont="1" applyFill="1" applyBorder="1" applyAlignment="1">
      <alignment/>
    </xf>
    <xf numFmtId="40" fontId="8" fillId="0" borderId="44" xfId="47" applyNumberFormat="1" applyFont="1" applyFill="1" applyBorder="1" applyAlignment="1">
      <alignment/>
    </xf>
    <xf numFmtId="40" fontId="8" fillId="0" borderId="45" xfId="47" applyNumberFormat="1" applyFont="1" applyFill="1" applyBorder="1" applyAlignment="1">
      <alignment/>
    </xf>
    <xf numFmtId="40" fontId="8" fillId="0" borderId="42" xfId="47" applyNumberFormat="1" applyFont="1" applyFill="1" applyBorder="1" applyAlignment="1">
      <alignment/>
    </xf>
    <xf numFmtId="40" fontId="8" fillId="0" borderId="46" xfId="47" applyNumberFormat="1" applyFont="1" applyFill="1" applyBorder="1" applyAlignment="1">
      <alignment/>
    </xf>
    <xf numFmtId="170" fontId="5" fillId="0" borderId="0" xfId="53" applyNumberFormat="1" applyFont="1" applyFill="1" applyBorder="1" applyAlignment="1">
      <alignment horizontal="right"/>
      <protection/>
    </xf>
    <xf numFmtId="3" fontId="8" fillId="0" borderId="42" xfId="53" applyNumberFormat="1" applyFont="1" applyFill="1" applyBorder="1">
      <alignment/>
      <protection/>
    </xf>
    <xf numFmtId="3" fontId="5" fillId="0" borderId="0" xfId="53" applyNumberFormat="1" applyFont="1" applyFill="1" applyBorder="1" applyAlignment="1" applyProtection="1" quotePrefix="1">
      <alignment horizontal="right"/>
      <protection/>
    </xf>
    <xf numFmtId="182" fontId="5" fillId="0" borderId="0" xfId="53" applyNumberFormat="1" applyFont="1" applyFill="1" applyBorder="1" applyAlignment="1" applyProtection="1">
      <alignment horizontal="right"/>
      <protection/>
    </xf>
    <xf numFmtId="3" fontId="5" fillId="0" borderId="0" xfId="53" applyNumberFormat="1" applyFont="1" applyFill="1" applyBorder="1" applyProtection="1">
      <alignment/>
      <protection/>
    </xf>
    <xf numFmtId="170" fontId="5" fillId="0" borderId="0" xfId="53" applyNumberFormat="1" applyFont="1" applyFill="1" applyBorder="1" applyAlignment="1" applyProtection="1">
      <alignment horizontal="right"/>
      <protection/>
    </xf>
    <xf numFmtId="3" fontId="5" fillId="0" borderId="0" xfId="53" applyNumberFormat="1" applyFont="1" applyFill="1" applyBorder="1">
      <alignment/>
      <protection/>
    </xf>
    <xf numFmtId="193" fontId="4" fillId="0" borderId="0" xfId="47" applyNumberFormat="1" applyFont="1" applyFill="1" applyAlignment="1">
      <alignment/>
    </xf>
    <xf numFmtId="0" fontId="10" fillId="0" borderId="0" xfId="56" applyFont="1" applyFill="1" applyAlignment="1">
      <alignment horizontal="centerContinuous"/>
      <protection/>
    </xf>
    <xf numFmtId="193" fontId="10" fillId="0" borderId="0" xfId="47" applyNumberFormat="1" applyFont="1" applyFill="1" applyAlignment="1">
      <alignment horizontal="centerContinuous"/>
    </xf>
    <xf numFmtId="0" fontId="10" fillId="0" borderId="0" xfId="56" applyFont="1" applyFill="1">
      <alignment/>
      <protection/>
    </xf>
    <xf numFmtId="0" fontId="10" fillId="0" borderId="0" xfId="56" applyFont="1" applyFill="1" applyBorder="1" applyAlignment="1">
      <alignment horizontal="center" vertical="center"/>
      <protection/>
    </xf>
    <xf numFmtId="3" fontId="10" fillId="0" borderId="0" xfId="56" applyNumberFormat="1" applyFont="1" applyFill="1">
      <alignment/>
      <protection/>
    </xf>
    <xf numFmtId="181" fontId="10" fillId="0" borderId="0" xfId="56" applyNumberFormat="1" applyFont="1" applyFill="1">
      <alignment/>
      <protection/>
    </xf>
    <xf numFmtId="0" fontId="10" fillId="0" borderId="16" xfId="56" applyFont="1" applyFill="1" applyBorder="1">
      <alignment/>
      <protection/>
    </xf>
    <xf numFmtId="0" fontId="10" fillId="0" borderId="0" xfId="56" applyFont="1" applyFill="1" applyAlignment="1" applyProtection="1">
      <alignment horizontal="left"/>
      <protection/>
    </xf>
    <xf numFmtId="193" fontId="10" fillId="0" borderId="0" xfId="47" applyNumberFormat="1" applyFont="1" applyFill="1" applyAlignment="1">
      <alignment/>
    </xf>
    <xf numFmtId="38" fontId="10" fillId="0" borderId="0" xfId="56" applyNumberFormat="1" applyFont="1" applyFill="1">
      <alignment/>
      <protection/>
    </xf>
    <xf numFmtId="0" fontId="4" fillId="0" borderId="10" xfId="56" applyFont="1" applyFill="1" applyBorder="1" applyAlignment="1" applyProtection="1">
      <alignment horizontal="centerContinuous" vertical="center"/>
      <protection/>
    </xf>
    <xf numFmtId="0" fontId="4" fillId="0" borderId="11" xfId="56" applyFont="1" applyFill="1" applyBorder="1" applyAlignment="1">
      <alignment horizontal="centerContinuous" vertical="center"/>
      <protection/>
    </xf>
    <xf numFmtId="0" fontId="4" fillId="0" borderId="18" xfId="56" applyFont="1" applyFill="1" applyBorder="1" applyAlignment="1">
      <alignment horizontal="centerContinuous" vertical="center"/>
      <protection/>
    </xf>
    <xf numFmtId="0" fontId="4" fillId="0" borderId="13" xfId="58" applyFont="1" applyFill="1" applyBorder="1" applyAlignment="1" applyProtection="1">
      <alignment horizontal="center" vertical="center"/>
      <protection/>
    </xf>
    <xf numFmtId="0" fontId="4" fillId="0" borderId="39" xfId="58" applyFont="1" applyFill="1" applyBorder="1" applyAlignment="1" applyProtection="1">
      <alignment horizontal="center" vertical="center"/>
      <protection/>
    </xf>
    <xf numFmtId="3" fontId="8" fillId="0" borderId="15" xfId="58" applyNumberFormat="1" applyFont="1" applyFill="1" applyBorder="1" applyProtection="1">
      <alignment/>
      <protection/>
    </xf>
    <xf numFmtId="170" fontId="8" fillId="0" borderId="19" xfId="58" applyNumberFormat="1" applyFont="1" applyFill="1" applyBorder="1">
      <alignment/>
      <protection/>
    </xf>
    <xf numFmtId="0" fontId="8" fillId="0" borderId="15" xfId="58" applyFont="1" applyFill="1" applyBorder="1">
      <alignment/>
      <protection/>
    </xf>
    <xf numFmtId="3" fontId="8" fillId="0" borderId="42" xfId="58" applyNumberFormat="1" applyFont="1" applyFill="1" applyBorder="1" applyProtection="1">
      <alignment/>
      <protection/>
    </xf>
    <xf numFmtId="170" fontId="8" fillId="0" borderId="40" xfId="58" applyNumberFormat="1" applyFont="1" applyFill="1" applyBorder="1">
      <alignment/>
      <protection/>
    </xf>
    <xf numFmtId="38" fontId="4" fillId="0" borderId="0" xfId="47" applyFont="1" applyFill="1" applyBorder="1" applyAlignment="1">
      <alignment horizontal="right"/>
    </xf>
    <xf numFmtId="0" fontId="4" fillId="0" borderId="38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 horizontal="centerContinuous"/>
    </xf>
    <xf numFmtId="0" fontId="7" fillId="0" borderId="41" xfId="0" applyFont="1" applyFill="1" applyBorder="1" applyAlignment="1">
      <alignment horizontal="centerContinuous" vertical="top"/>
    </xf>
    <xf numFmtId="0" fontId="4" fillId="0" borderId="14" xfId="0" applyFont="1" applyFill="1" applyBorder="1" applyAlignment="1">
      <alignment horizontal="centerContinuous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 quotePrefix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/>
    </xf>
    <xf numFmtId="170" fontId="4" fillId="0" borderId="0" xfId="0" applyNumberFormat="1" applyFont="1" applyFill="1" applyAlignment="1">
      <alignment/>
    </xf>
    <xf numFmtId="170" fontId="4" fillId="0" borderId="29" xfId="0" applyNumberFormat="1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170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94" fontId="15" fillId="0" borderId="0" xfId="61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17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0" fontId="0" fillId="0" borderId="12" xfId="0" applyNumberFormat="1" applyFont="1" applyFill="1" applyBorder="1" applyAlignment="1">
      <alignment vertical="center"/>
    </xf>
    <xf numFmtId="170" fontId="0" fillId="0" borderId="0" xfId="0" applyNumberFormat="1" applyFont="1" applyFill="1" applyAlignment="1">
      <alignment/>
    </xf>
    <xf numFmtId="194" fontId="0" fillId="0" borderId="0" xfId="61" applyNumberFormat="1" applyFont="1" applyFill="1" applyAlignment="1">
      <alignment/>
    </xf>
    <xf numFmtId="194" fontId="0" fillId="0" borderId="0" xfId="61" applyNumberFormat="1" applyFont="1" applyFill="1" applyAlignment="1">
      <alignment vertical="center"/>
    </xf>
    <xf numFmtId="0" fontId="10" fillId="0" borderId="0" xfId="52" applyFont="1" applyFill="1">
      <alignment/>
      <protection/>
    </xf>
    <xf numFmtId="0" fontId="10" fillId="0" borderId="0" xfId="51" applyFont="1" applyFill="1" applyAlignment="1">
      <alignment horizontal="centerContinuous"/>
      <protection/>
    </xf>
    <xf numFmtId="0" fontId="10" fillId="0" borderId="0" xfId="51" applyFont="1" applyFill="1">
      <alignment/>
      <protection/>
    </xf>
    <xf numFmtId="0" fontId="10" fillId="0" borderId="0" xfId="51" applyFont="1" applyFill="1" applyAlignment="1">
      <alignment horizontal="center" vertical="center"/>
      <protection/>
    </xf>
    <xf numFmtId="3" fontId="10" fillId="0" borderId="0" xfId="51" applyNumberFormat="1" applyFont="1" applyFill="1">
      <alignment/>
      <protection/>
    </xf>
    <xf numFmtId="0" fontId="10" fillId="0" borderId="0" xfId="51" applyFont="1" applyFill="1" applyAlignment="1" applyProtection="1">
      <alignment horizontal="left"/>
      <protection/>
    </xf>
    <xf numFmtId="0" fontId="10" fillId="0" borderId="0" xfId="50" applyFont="1" applyFill="1">
      <alignment/>
      <protection/>
    </xf>
    <xf numFmtId="0" fontId="10" fillId="0" borderId="21" xfId="50" applyFont="1" applyFill="1" applyBorder="1" applyAlignment="1">
      <alignment horizontal="centerContinuous"/>
      <protection/>
    </xf>
    <xf numFmtId="0" fontId="10" fillId="0" borderId="12" xfId="50" applyFont="1" applyFill="1" applyBorder="1">
      <alignment/>
      <protection/>
    </xf>
    <xf numFmtId="0" fontId="10" fillId="0" borderId="19" xfId="50" applyFont="1" applyFill="1" applyBorder="1">
      <alignment/>
      <protection/>
    </xf>
    <xf numFmtId="194" fontId="10" fillId="0" borderId="0" xfId="61" applyNumberFormat="1" applyFont="1" applyFill="1" applyAlignment="1">
      <alignment/>
    </xf>
    <xf numFmtId="0" fontId="10" fillId="0" borderId="0" xfId="50" applyFont="1" applyFill="1" applyBorder="1">
      <alignment/>
      <protection/>
    </xf>
    <xf numFmtId="0" fontId="10" fillId="0" borderId="0" xfId="49" applyFont="1" applyFill="1">
      <alignment/>
      <protection/>
    </xf>
    <xf numFmtId="0" fontId="10" fillId="0" borderId="0" xfId="49" applyFont="1" applyFill="1" applyAlignment="1">
      <alignment horizontal="centerContinuous"/>
      <protection/>
    </xf>
    <xf numFmtId="0" fontId="10" fillId="0" borderId="0" xfId="58" applyFont="1" applyFill="1" applyAlignment="1">
      <alignment horizontal="centerContinuous"/>
      <protection/>
    </xf>
    <xf numFmtId="0" fontId="10" fillId="0" borderId="0" xfId="58" applyFont="1" applyFill="1">
      <alignment/>
      <protection/>
    </xf>
    <xf numFmtId="0" fontId="10" fillId="0" borderId="0" xfId="58" applyFont="1" applyFill="1" applyAlignment="1">
      <alignment horizontal="center" vertical="center"/>
      <protection/>
    </xf>
    <xf numFmtId="0" fontId="10" fillId="0" borderId="0" xfId="58" applyFont="1" applyFill="1" applyBorder="1">
      <alignment/>
      <protection/>
    </xf>
    <xf numFmtId="0" fontId="10" fillId="0" borderId="23" xfId="58" applyFont="1" applyFill="1" applyBorder="1" applyAlignment="1">
      <alignment horizontal="centerContinuous"/>
      <protection/>
    </xf>
    <xf numFmtId="0" fontId="10" fillId="0" borderId="0" xfId="58" applyFont="1" applyFill="1" applyAlignment="1" applyProtection="1">
      <alignment horizontal="left"/>
      <protection/>
    </xf>
    <xf numFmtId="0" fontId="10" fillId="0" borderId="0" xfId="57" applyFont="1" applyFill="1" applyAlignment="1">
      <alignment horizontal="centerContinuous"/>
      <protection/>
    </xf>
    <xf numFmtId="0" fontId="10" fillId="0" borderId="0" xfId="57" applyFont="1" applyFill="1">
      <alignment/>
      <protection/>
    </xf>
    <xf numFmtId="0" fontId="10" fillId="0" borderId="23" xfId="57" applyFont="1" applyFill="1" applyBorder="1" applyAlignment="1">
      <alignment horizontal="centerContinuous"/>
      <protection/>
    </xf>
    <xf numFmtId="0" fontId="10" fillId="0" borderId="0" xfId="57" applyFont="1" applyFill="1" applyAlignment="1" applyProtection="1">
      <alignment horizontal="left"/>
      <protection/>
    </xf>
    <xf numFmtId="0" fontId="10" fillId="0" borderId="0" xfId="55" applyFont="1" applyFill="1">
      <alignment/>
      <protection/>
    </xf>
    <xf numFmtId="194" fontId="10" fillId="0" borderId="0" xfId="55" applyNumberFormat="1" applyFont="1" applyFill="1">
      <alignment/>
      <protection/>
    </xf>
    <xf numFmtId="3" fontId="10" fillId="0" borderId="0" xfId="55" applyNumberFormat="1" applyFont="1" applyFill="1">
      <alignment/>
      <protection/>
    </xf>
    <xf numFmtId="0" fontId="10" fillId="0" borderId="32" xfId="55" applyFont="1" applyFill="1" applyBorder="1">
      <alignment/>
      <protection/>
    </xf>
    <xf numFmtId="38" fontId="10" fillId="0" borderId="0" xfId="47" applyFont="1" applyFill="1" applyAlignment="1">
      <alignment/>
    </xf>
    <xf numFmtId="195" fontId="10" fillId="0" borderId="0" xfId="55" applyNumberFormat="1" applyFont="1" applyFill="1">
      <alignment/>
      <protection/>
    </xf>
    <xf numFmtId="4" fontId="10" fillId="0" borderId="0" xfId="55" applyNumberFormat="1" applyFont="1" applyFill="1">
      <alignment/>
      <protection/>
    </xf>
    <xf numFmtId="0" fontId="10" fillId="0" borderId="0" xfId="54" applyFont="1" applyFill="1">
      <alignment/>
      <protection/>
    </xf>
    <xf numFmtId="0" fontId="10" fillId="0" borderId="0" xfId="54" applyFont="1" applyFill="1" applyBorder="1">
      <alignment/>
      <protection/>
    </xf>
    <xf numFmtId="0" fontId="7" fillId="0" borderId="12" xfId="54" applyFont="1" applyFill="1" applyBorder="1" applyAlignment="1" applyProtection="1">
      <alignment horizontal="left"/>
      <protection/>
    </xf>
    <xf numFmtId="0" fontId="10" fillId="0" borderId="23" xfId="54" applyFont="1" applyFill="1" applyBorder="1">
      <alignment/>
      <protection/>
    </xf>
    <xf numFmtId="0" fontId="10" fillId="0" borderId="0" xfId="53" applyFont="1" applyFill="1">
      <alignment/>
      <protection/>
    </xf>
    <xf numFmtId="3" fontId="10" fillId="0" borderId="0" xfId="54" applyNumberFormat="1" applyFont="1" applyFill="1">
      <alignment/>
      <protection/>
    </xf>
    <xf numFmtId="0" fontId="10" fillId="0" borderId="0" xfId="54" applyFont="1" applyFill="1" applyAlignment="1" applyProtection="1">
      <alignment horizontal="left"/>
      <protection/>
    </xf>
    <xf numFmtId="181" fontId="10" fillId="0" borderId="0" xfId="54" applyNumberFormat="1" applyFont="1" applyFill="1">
      <alignment/>
      <protection/>
    </xf>
    <xf numFmtId="38" fontId="10" fillId="0" borderId="0" xfId="54" applyNumberFormat="1" applyFont="1" applyFill="1">
      <alignment/>
      <protection/>
    </xf>
    <xf numFmtId="0" fontId="10" fillId="0" borderId="0" xfId="53" applyFont="1" applyFill="1" applyAlignment="1">
      <alignment horizontal="center" vertical="center"/>
      <protection/>
    </xf>
    <xf numFmtId="0" fontId="10" fillId="0" borderId="0" xfId="53" applyFont="1" applyFill="1" applyBorder="1" applyAlignment="1">
      <alignment/>
      <protection/>
    </xf>
    <xf numFmtId="0" fontId="7" fillId="0" borderId="0" xfId="57" applyFont="1" applyFill="1" applyAlignment="1" applyProtection="1">
      <alignment horizontal="left"/>
      <protection/>
    </xf>
    <xf numFmtId="0" fontId="4" fillId="0" borderId="12" xfId="57" applyFont="1" applyFill="1" applyBorder="1" applyAlignment="1" applyProtection="1">
      <alignment horizontal="center"/>
      <protection/>
    </xf>
    <xf numFmtId="0" fontId="4" fillId="0" borderId="47" xfId="0" applyFont="1" applyFill="1" applyBorder="1" applyAlignment="1">
      <alignment horizontal="center" vertical="center" wrapText="1"/>
    </xf>
    <xf numFmtId="0" fontId="4" fillId="0" borderId="49" xfId="52" applyFont="1" applyFill="1" applyBorder="1" applyAlignment="1">
      <alignment horizontal="center"/>
      <protection/>
    </xf>
    <xf numFmtId="2" fontId="8" fillId="0" borderId="49" xfId="52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3" fontId="8" fillId="0" borderId="49" xfId="0" applyNumberFormat="1" applyFont="1" applyFill="1" applyBorder="1" applyAlignment="1">
      <alignment/>
    </xf>
    <xf numFmtId="3" fontId="8" fillId="0" borderId="50" xfId="0" applyNumberFormat="1" applyFont="1" applyFill="1" applyBorder="1" applyAlignment="1">
      <alignment/>
    </xf>
    <xf numFmtId="3" fontId="8" fillId="0" borderId="49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2" fontId="8" fillId="0" borderId="15" xfId="0" applyNumberFormat="1" applyFont="1" applyFill="1" applyBorder="1" applyAlignment="1">
      <alignment/>
    </xf>
    <xf numFmtId="2" fontId="8" fillId="0" borderId="0" xfId="0" applyNumberFormat="1" applyFont="1" applyFill="1" applyAlignment="1">
      <alignment/>
    </xf>
    <xf numFmtId="2" fontId="8" fillId="0" borderId="49" xfId="0" applyNumberFormat="1" applyFont="1" applyFill="1" applyBorder="1" applyAlignment="1">
      <alignment/>
    </xf>
    <xf numFmtId="2" fontId="8" fillId="0" borderId="0" xfId="0" applyNumberFormat="1" applyFont="1" applyFill="1" applyAlignment="1" quotePrefix="1">
      <alignment/>
    </xf>
    <xf numFmtId="2" fontId="8" fillId="0" borderId="30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51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2" fontId="8" fillId="0" borderId="14" xfId="0" applyNumberFormat="1" applyFont="1" applyFill="1" applyBorder="1" applyAlignment="1">
      <alignment/>
    </xf>
    <xf numFmtId="2" fontId="8" fillId="0" borderId="30" xfId="0" applyNumberFormat="1" applyFont="1" applyFill="1" applyBorder="1" applyAlignment="1">
      <alignment vertical="center"/>
    </xf>
    <xf numFmtId="2" fontId="8" fillId="0" borderId="29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8" fillId="0" borderId="51" xfId="0" applyNumberFormat="1" applyFont="1" applyFill="1" applyBorder="1" applyAlignment="1">
      <alignment vertical="center"/>
    </xf>
    <xf numFmtId="2" fontId="8" fillId="0" borderId="42" xfId="0" applyNumberFormat="1" applyFont="1" applyFill="1" applyBorder="1" applyAlignment="1">
      <alignment/>
    </xf>
    <xf numFmtId="2" fontId="8" fillId="0" borderId="23" xfId="0" applyNumberFormat="1" applyFont="1" applyFill="1" applyBorder="1" applyAlignment="1">
      <alignment/>
    </xf>
    <xf numFmtId="2" fontId="8" fillId="0" borderId="50" xfId="0" applyNumberFormat="1" applyFont="1" applyFill="1" applyBorder="1" applyAlignment="1">
      <alignment/>
    </xf>
    <xf numFmtId="2" fontId="8" fillId="0" borderId="19" xfId="0" applyNumberFormat="1" applyFont="1" applyFill="1" applyBorder="1" applyAlignment="1">
      <alignment/>
    </xf>
    <xf numFmtId="2" fontId="8" fillId="0" borderId="52" xfId="0" applyNumberFormat="1" applyFont="1" applyFill="1" applyBorder="1" applyAlignment="1">
      <alignment vertical="center"/>
    </xf>
    <xf numFmtId="2" fontId="8" fillId="0" borderId="40" xfId="0" applyNumberFormat="1" applyFont="1" applyFill="1" applyBorder="1" applyAlignment="1">
      <alignment/>
    </xf>
    <xf numFmtId="3" fontId="10" fillId="0" borderId="0" xfId="50" applyNumberFormat="1" applyFont="1" applyFill="1">
      <alignment/>
      <protection/>
    </xf>
    <xf numFmtId="0" fontId="7" fillId="0" borderId="53" xfId="49" applyFont="1" applyFill="1" applyBorder="1" applyAlignment="1" applyProtection="1">
      <alignment horizontal="left"/>
      <protection/>
    </xf>
    <xf numFmtId="0" fontId="7" fillId="0" borderId="54" xfId="49" applyFont="1" applyFill="1" applyBorder="1" applyAlignment="1" applyProtection="1">
      <alignment horizontal="left"/>
      <protection/>
    </xf>
    <xf numFmtId="0" fontId="7" fillId="0" borderId="55" xfId="49" applyFont="1" applyFill="1" applyBorder="1" applyAlignment="1" applyProtection="1">
      <alignment horizontal="left"/>
      <protection/>
    </xf>
    <xf numFmtId="0" fontId="7" fillId="0" borderId="55" xfId="49" applyFont="1" applyFill="1" applyBorder="1" applyAlignment="1" applyProtection="1">
      <alignment wrapText="1"/>
      <protection/>
    </xf>
    <xf numFmtId="0" fontId="8" fillId="0" borderId="55" xfId="49" applyFont="1" applyFill="1" applyBorder="1" applyAlignment="1" applyProtection="1">
      <alignment horizontal="left"/>
      <protection/>
    </xf>
    <xf numFmtId="0" fontId="8" fillId="0" borderId="55" xfId="49" applyFont="1" applyFill="1" applyBorder="1" applyAlignment="1" applyProtection="1">
      <alignment horizontal="right"/>
      <protection/>
    </xf>
    <xf numFmtId="0" fontId="7" fillId="0" borderId="56" xfId="49" applyFont="1" applyFill="1" applyBorder="1" applyAlignment="1" applyProtection="1">
      <alignment wrapText="1"/>
      <protection/>
    </xf>
    <xf numFmtId="0" fontId="0" fillId="0" borderId="3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18" fillId="0" borderId="5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9" fillId="0" borderId="55" xfId="49" applyFont="1" applyFill="1" applyBorder="1" applyAlignment="1" applyProtection="1">
      <alignment horizontal="left"/>
      <protection/>
    </xf>
    <xf numFmtId="0" fontId="4" fillId="0" borderId="57" xfId="49" applyFont="1" applyFill="1" applyBorder="1" applyAlignment="1" applyProtection="1">
      <alignment horizontal="centerContinuous"/>
      <protection/>
    </xf>
    <xf numFmtId="0" fontId="10" fillId="0" borderId="43" xfId="49" applyFont="1" applyFill="1" applyBorder="1">
      <alignment/>
      <protection/>
    </xf>
    <xf numFmtId="0" fontId="10" fillId="0" borderId="17" xfId="53" applyFont="1" applyFill="1" applyBorder="1">
      <alignment/>
      <protection/>
    </xf>
    <xf numFmtId="0" fontId="4" fillId="0" borderId="12" xfId="54" applyFont="1" applyFill="1" applyBorder="1" applyAlignment="1" applyProtection="1">
      <alignment horizontal="left"/>
      <protection/>
    </xf>
    <xf numFmtId="0" fontId="7" fillId="0" borderId="12" xfId="56" applyFont="1" applyFill="1" applyBorder="1" applyAlignment="1" applyProtection="1">
      <alignment horizontal="left"/>
      <protection/>
    </xf>
    <xf numFmtId="0" fontId="7" fillId="0" borderId="16" xfId="56" applyFont="1" applyFill="1" applyBorder="1">
      <alignment/>
      <protection/>
    </xf>
    <xf numFmtId="0" fontId="7" fillId="0" borderId="16" xfId="58" applyFont="1" applyFill="1" applyBorder="1">
      <alignment/>
      <protection/>
    </xf>
    <xf numFmtId="0" fontId="4" fillId="0" borderId="52" xfId="55" applyFont="1" applyFill="1" applyBorder="1">
      <alignment/>
      <protection/>
    </xf>
    <xf numFmtId="0" fontId="4" fillId="0" borderId="19" xfId="55" applyFont="1" applyFill="1" applyBorder="1">
      <alignment/>
      <protection/>
    </xf>
    <xf numFmtId="0" fontId="4" fillId="0" borderId="40" xfId="55" applyFont="1" applyFill="1" applyBorder="1">
      <alignment/>
      <protection/>
    </xf>
    <xf numFmtId="0" fontId="5" fillId="0" borderId="0" xfId="0" applyFont="1" applyBorder="1" applyAlignment="1" applyProtection="1">
      <alignment/>
      <protection locked="0"/>
    </xf>
    <xf numFmtId="0" fontId="4" fillId="33" borderId="38" xfId="54" applyFont="1" applyFill="1" applyBorder="1" applyAlignment="1" quotePrefix="1">
      <alignment horizontal="centerContinuous" vertical="center"/>
      <protection/>
    </xf>
    <xf numFmtId="0" fontId="4" fillId="33" borderId="18" xfId="54" applyFont="1" applyFill="1" applyBorder="1" applyAlignment="1">
      <alignment horizontal="centerContinuous" vertical="center"/>
      <protection/>
    </xf>
    <xf numFmtId="0" fontId="4" fillId="33" borderId="13" xfId="53" applyFont="1" applyFill="1" applyBorder="1" applyAlignment="1">
      <alignment horizontal="center" vertical="center"/>
      <protection/>
    </xf>
    <xf numFmtId="0" fontId="4" fillId="33" borderId="14" xfId="53" applyFont="1" applyFill="1" applyBorder="1" applyAlignment="1">
      <alignment horizontal="center" vertical="center"/>
      <protection/>
    </xf>
    <xf numFmtId="3" fontId="8" fillId="33" borderId="15" xfId="53" applyNumberFormat="1" applyFont="1" applyFill="1" applyBorder="1" applyProtection="1">
      <alignment/>
      <protection/>
    </xf>
    <xf numFmtId="3" fontId="8" fillId="33" borderId="15" xfId="53" applyNumberFormat="1" applyFont="1" applyFill="1" applyBorder="1">
      <alignment/>
      <protection/>
    </xf>
    <xf numFmtId="0" fontId="8" fillId="33" borderId="15" xfId="53" applyFont="1" applyFill="1" applyBorder="1">
      <alignment/>
      <protection/>
    </xf>
    <xf numFmtId="0" fontId="10" fillId="33" borderId="13" xfId="54" applyFont="1" applyFill="1" applyBorder="1">
      <alignment/>
      <protection/>
    </xf>
    <xf numFmtId="0" fontId="10" fillId="33" borderId="48" xfId="54" applyFont="1" applyFill="1" applyBorder="1">
      <alignment/>
      <protection/>
    </xf>
    <xf numFmtId="3" fontId="8" fillId="33" borderId="30" xfId="53" applyNumberFormat="1" applyFont="1" applyFill="1" applyBorder="1" applyProtection="1">
      <alignment/>
      <protection/>
    </xf>
    <xf numFmtId="170" fontId="10" fillId="33" borderId="49" xfId="54" applyNumberFormat="1" applyFont="1" applyFill="1" applyBorder="1">
      <alignment/>
      <protection/>
    </xf>
    <xf numFmtId="3" fontId="8" fillId="33" borderId="15" xfId="53" applyNumberFormat="1" applyFont="1" applyFill="1" applyBorder="1">
      <alignment/>
      <protection/>
    </xf>
    <xf numFmtId="3" fontId="8" fillId="33" borderId="15" xfId="53" applyNumberFormat="1" applyFont="1" applyFill="1" applyBorder="1" applyProtection="1">
      <alignment/>
      <protection/>
    </xf>
    <xf numFmtId="0" fontId="0" fillId="33" borderId="0" xfId="0" applyFill="1" applyAlignment="1">
      <alignment/>
    </xf>
    <xf numFmtId="3" fontId="8" fillId="33" borderId="42" xfId="53" applyNumberFormat="1" applyFont="1" applyFill="1" applyBorder="1">
      <alignment/>
      <protection/>
    </xf>
    <xf numFmtId="170" fontId="10" fillId="33" borderId="50" xfId="54" applyNumberFormat="1" applyFont="1" applyFill="1" applyBorder="1">
      <alignment/>
      <protection/>
    </xf>
    <xf numFmtId="0" fontId="4" fillId="0" borderId="38" xfId="56" applyFont="1" applyFill="1" applyBorder="1" applyAlignment="1">
      <alignment horizontal="centerContinuous" vertical="center"/>
      <protection/>
    </xf>
    <xf numFmtId="0" fontId="10" fillId="33" borderId="0" xfId="57" applyFont="1" applyFill="1" applyAlignment="1">
      <alignment horizontal="centerContinuous"/>
      <protection/>
    </xf>
    <xf numFmtId="0" fontId="4" fillId="33" borderId="13" xfId="57" applyFont="1" applyFill="1" applyBorder="1" applyAlignment="1" applyProtection="1">
      <alignment horizontal="center" vertical="center"/>
      <protection/>
    </xf>
    <xf numFmtId="0" fontId="4" fillId="33" borderId="39" xfId="57" applyFont="1" applyFill="1" applyBorder="1" applyAlignment="1" applyProtection="1">
      <alignment horizontal="center" vertical="center"/>
      <protection/>
    </xf>
    <xf numFmtId="0" fontId="10" fillId="33" borderId="0" xfId="57" applyFont="1" applyFill="1" applyBorder="1">
      <alignment/>
      <protection/>
    </xf>
    <xf numFmtId="0" fontId="10" fillId="33" borderId="23" xfId="57" applyFont="1" applyFill="1" applyBorder="1">
      <alignment/>
      <protection/>
    </xf>
    <xf numFmtId="170" fontId="5" fillId="33" borderId="0" xfId="57" applyNumberFormat="1" applyFont="1" applyFill="1">
      <alignment/>
      <protection/>
    </xf>
    <xf numFmtId="0" fontId="4" fillId="33" borderId="0" xfId="57" applyFont="1" applyFill="1">
      <alignment/>
      <protection/>
    </xf>
    <xf numFmtId="0" fontId="10" fillId="33" borderId="0" xfId="57" applyFont="1" applyFill="1">
      <alignment/>
      <protection/>
    </xf>
    <xf numFmtId="3" fontId="8" fillId="33" borderId="15" xfId="57" applyNumberFormat="1" applyFont="1" applyFill="1" applyBorder="1" applyProtection="1">
      <alignment/>
      <protection/>
    </xf>
    <xf numFmtId="3" fontId="8" fillId="33" borderId="42" xfId="57" applyNumberFormat="1" applyFont="1" applyFill="1" applyBorder="1" applyProtection="1">
      <alignment/>
      <protection/>
    </xf>
    <xf numFmtId="0" fontId="4" fillId="33" borderId="11" xfId="56" applyFont="1" applyFill="1" applyBorder="1" applyAlignment="1">
      <alignment horizontal="centerContinuous" vertical="center"/>
      <protection/>
    </xf>
    <xf numFmtId="0" fontId="4" fillId="33" borderId="18" xfId="56" applyFont="1" applyFill="1" applyBorder="1" applyAlignment="1">
      <alignment horizontal="centerContinuous" vertical="center"/>
      <protection/>
    </xf>
    <xf numFmtId="0" fontId="4" fillId="33" borderId="14" xfId="56" applyFont="1" applyFill="1" applyBorder="1" applyAlignment="1" applyProtection="1">
      <alignment horizontal="center" vertical="center"/>
      <protection/>
    </xf>
    <xf numFmtId="0" fontId="4" fillId="33" borderId="39" xfId="56" applyFont="1" applyFill="1" applyBorder="1" applyAlignment="1" applyProtection="1">
      <alignment horizontal="center" vertical="center"/>
      <protection/>
    </xf>
    <xf numFmtId="38" fontId="10" fillId="33" borderId="0" xfId="47" applyFont="1" applyFill="1" applyBorder="1" applyAlignment="1">
      <alignment/>
    </xf>
    <xf numFmtId="0" fontId="10" fillId="33" borderId="0" xfId="56" applyFont="1" applyFill="1" applyBorder="1">
      <alignment/>
      <protection/>
    </xf>
    <xf numFmtId="38" fontId="10" fillId="33" borderId="23" xfId="47" applyFont="1" applyFill="1" applyBorder="1" applyAlignment="1">
      <alignment/>
    </xf>
    <xf numFmtId="0" fontId="4" fillId="33" borderId="33" xfId="55" applyFont="1" applyFill="1" applyBorder="1" applyAlignment="1">
      <alignment horizontal="centerContinuous"/>
      <protection/>
    </xf>
    <xf numFmtId="0" fontId="4" fillId="33" borderId="58" xfId="55" applyFont="1" applyFill="1" applyBorder="1" applyAlignment="1">
      <alignment horizontal="centerContinuous"/>
      <protection/>
    </xf>
    <xf numFmtId="0" fontId="4" fillId="33" borderId="59" xfId="55" applyFont="1" applyFill="1" applyBorder="1" applyAlignment="1">
      <alignment horizontal="center" vertical="top"/>
      <protection/>
    </xf>
    <xf numFmtId="0" fontId="4" fillId="33" borderId="60" xfId="55" applyFont="1" applyFill="1" applyBorder="1" applyAlignment="1">
      <alignment horizontal="center" vertical="center" wrapText="1"/>
      <protection/>
    </xf>
    <xf numFmtId="0" fontId="4" fillId="33" borderId="0" xfId="55" applyFont="1" applyFill="1" applyBorder="1" applyAlignment="1">
      <alignment horizontal="center"/>
      <protection/>
    </xf>
    <xf numFmtId="0" fontId="4" fillId="33" borderId="61" xfId="55" applyFont="1" applyFill="1" applyBorder="1" applyAlignment="1">
      <alignment horizontal="center"/>
      <protection/>
    </xf>
    <xf numFmtId="3" fontId="8" fillId="33" borderId="0" xfId="55" applyNumberFormat="1" applyFont="1" applyFill="1" applyBorder="1" applyAlignment="1">
      <alignment/>
      <protection/>
    </xf>
    <xf numFmtId="3" fontId="8" fillId="33" borderId="44" xfId="55" applyNumberFormat="1" applyFont="1" applyFill="1" applyBorder="1" applyAlignment="1">
      <alignment/>
      <protection/>
    </xf>
    <xf numFmtId="3" fontId="8" fillId="33" borderId="23" xfId="55" applyNumberFormat="1" applyFont="1" applyFill="1" applyBorder="1" applyAlignment="1">
      <alignment/>
      <protection/>
    </xf>
    <xf numFmtId="3" fontId="8" fillId="33" borderId="46" xfId="55" applyNumberFormat="1" applyFont="1" applyFill="1" applyBorder="1" applyAlignment="1">
      <alignment/>
      <protection/>
    </xf>
    <xf numFmtId="196" fontId="4" fillId="33" borderId="0" xfId="55" applyNumberFormat="1" applyFont="1" applyFill="1">
      <alignment/>
      <protection/>
    </xf>
    <xf numFmtId="3" fontId="4" fillId="33" borderId="0" xfId="55" applyNumberFormat="1" applyFont="1" applyFill="1">
      <alignment/>
      <protection/>
    </xf>
    <xf numFmtId="188" fontId="4" fillId="33" borderId="0" xfId="55" applyNumberFormat="1" applyFont="1" applyFill="1">
      <alignment/>
      <protection/>
    </xf>
    <xf numFmtId="0" fontId="4" fillId="33" borderId="0" xfId="55" applyFont="1" applyFill="1" applyAlignment="1">
      <alignment horizontal="centerContinuous"/>
      <protection/>
    </xf>
    <xf numFmtId="0" fontId="10" fillId="33" borderId="0" xfId="55" applyFont="1" applyFill="1" applyAlignment="1">
      <alignment horizontal="centerContinuous"/>
      <protection/>
    </xf>
    <xf numFmtId="0" fontId="4" fillId="33" borderId="0" xfId="55" applyFont="1" applyFill="1" applyBorder="1" applyAlignment="1">
      <alignment horizontal="centerContinuous"/>
      <protection/>
    </xf>
    <xf numFmtId="0" fontId="4" fillId="33" borderId="62" xfId="55" applyFont="1" applyFill="1" applyBorder="1" applyAlignment="1">
      <alignment horizontal="center"/>
      <protection/>
    </xf>
    <xf numFmtId="0" fontId="4" fillId="33" borderId="63" xfId="55" applyFont="1" applyFill="1" applyBorder="1" applyAlignment="1">
      <alignment horizontal="center"/>
      <protection/>
    </xf>
    <xf numFmtId="3" fontId="8" fillId="33" borderId="35" xfId="55" applyNumberFormat="1" applyFont="1" applyFill="1" applyBorder="1" applyAlignment="1">
      <alignment horizontal="right"/>
      <protection/>
    </xf>
    <xf numFmtId="3" fontId="8" fillId="33" borderId="44" xfId="55" applyNumberFormat="1" applyFont="1" applyFill="1" applyBorder="1" applyAlignment="1">
      <alignment horizontal="right"/>
      <protection/>
    </xf>
    <xf numFmtId="3" fontId="8" fillId="33" borderId="28" xfId="55" applyNumberFormat="1" applyFont="1" applyFill="1" applyBorder="1" applyAlignment="1">
      <alignment horizontal="right"/>
      <protection/>
    </xf>
    <xf numFmtId="3" fontId="8" fillId="33" borderId="46" xfId="55" applyNumberFormat="1" applyFont="1" applyFill="1" applyBorder="1" applyAlignment="1">
      <alignment horizontal="right"/>
      <protection/>
    </xf>
    <xf numFmtId="0" fontId="4" fillId="33" borderId="47" xfId="0" applyFont="1" applyFill="1" applyBorder="1" applyAlignment="1">
      <alignment horizontal="center" vertical="center" wrapText="1"/>
    </xf>
    <xf numFmtId="3" fontId="8" fillId="33" borderId="49" xfId="0" applyNumberFormat="1" applyFont="1" applyFill="1" applyBorder="1" applyAlignment="1">
      <alignment/>
    </xf>
    <xf numFmtId="3" fontId="8" fillId="33" borderId="50" xfId="0" applyNumberFormat="1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23" xfId="0" applyFont="1" applyFill="1" applyBorder="1" applyAlignment="1">
      <alignment/>
    </xf>
    <xf numFmtId="3" fontId="8" fillId="33" borderId="49" xfId="0" applyNumberFormat="1" applyFont="1" applyFill="1" applyBorder="1" applyAlignment="1">
      <alignment/>
    </xf>
    <xf numFmtId="0" fontId="4" fillId="33" borderId="64" xfId="0" applyFont="1" applyFill="1" applyBorder="1" applyAlignment="1">
      <alignment horizontal="center" vertical="center" wrapText="1"/>
    </xf>
    <xf numFmtId="3" fontId="12" fillId="33" borderId="65" xfId="49" applyNumberFormat="1" applyFont="1" applyFill="1" applyBorder="1" applyAlignment="1">
      <alignment/>
      <protection/>
    </xf>
    <xf numFmtId="3" fontId="8" fillId="33" borderId="65" xfId="49" applyNumberFormat="1" applyFont="1" applyFill="1" applyBorder="1">
      <alignment/>
      <protection/>
    </xf>
    <xf numFmtId="3" fontId="12" fillId="33" borderId="65" xfId="49" applyNumberFormat="1" applyFont="1" applyFill="1" applyBorder="1">
      <alignment/>
      <protection/>
    </xf>
    <xf numFmtId="3" fontId="12" fillId="33" borderId="66" xfId="49" applyNumberFormat="1" applyFont="1" applyFill="1" applyBorder="1">
      <alignment/>
      <protection/>
    </xf>
    <xf numFmtId="0" fontId="4" fillId="0" borderId="47" xfId="54" applyFont="1" applyFill="1" applyBorder="1" applyAlignment="1">
      <alignment horizontal="centerContinuous" vertical="center"/>
      <protection/>
    </xf>
    <xf numFmtId="0" fontId="4" fillId="0" borderId="48" xfId="53" applyFont="1" applyFill="1" applyBorder="1" applyAlignment="1">
      <alignment horizontal="center" vertical="center"/>
      <protection/>
    </xf>
    <xf numFmtId="3" fontId="8" fillId="0" borderId="15" xfId="53" applyNumberFormat="1" applyFont="1" applyFill="1" applyBorder="1" applyProtection="1">
      <alignment/>
      <protection/>
    </xf>
    <xf numFmtId="170" fontId="8" fillId="0" borderId="49" xfId="53" applyNumberFormat="1" applyFont="1" applyFill="1" applyBorder="1" applyAlignment="1">
      <alignment horizontal="right"/>
      <protection/>
    </xf>
    <xf numFmtId="3" fontId="8" fillId="0" borderId="15" xfId="53" applyNumberFormat="1" applyFont="1" applyFill="1" applyBorder="1">
      <alignment/>
      <protection/>
    </xf>
    <xf numFmtId="0" fontId="8" fillId="0" borderId="15" xfId="53" applyFont="1" applyFill="1" applyBorder="1">
      <alignment/>
      <protection/>
    </xf>
    <xf numFmtId="170" fontId="8" fillId="0" borderId="50" xfId="53" applyNumberFormat="1" applyFont="1" applyFill="1" applyBorder="1" applyAlignment="1">
      <alignment horizontal="right"/>
      <protection/>
    </xf>
    <xf numFmtId="38" fontId="8" fillId="33" borderId="42" xfId="46" applyNumberFormat="1" applyFont="1" applyFill="1" applyBorder="1" applyAlignment="1">
      <alignment/>
    </xf>
    <xf numFmtId="38" fontId="8" fillId="0" borderId="42" xfId="46" applyNumberFormat="1" applyFont="1" applyFill="1" applyBorder="1" applyAlignment="1">
      <alignment/>
    </xf>
    <xf numFmtId="0" fontId="10" fillId="0" borderId="13" xfId="54" applyFont="1" applyFill="1" applyBorder="1">
      <alignment/>
      <protection/>
    </xf>
    <xf numFmtId="0" fontId="10" fillId="0" borderId="48" xfId="54" applyFont="1" applyFill="1" applyBorder="1">
      <alignment/>
      <protection/>
    </xf>
    <xf numFmtId="3" fontId="8" fillId="0" borderId="30" xfId="53" applyNumberFormat="1" applyFont="1" applyFill="1" applyBorder="1" applyProtection="1">
      <alignment/>
      <protection/>
    </xf>
    <xf numFmtId="170" fontId="10" fillId="0" borderId="49" xfId="54" applyNumberFormat="1" applyFont="1" applyFill="1" applyBorder="1">
      <alignment/>
      <protection/>
    </xf>
    <xf numFmtId="0" fontId="0" fillId="0" borderId="0" xfId="0" applyFill="1" applyAlignment="1">
      <alignment/>
    </xf>
    <xf numFmtId="170" fontId="10" fillId="0" borderId="50" xfId="54" applyNumberFormat="1" applyFont="1" applyFill="1" applyBorder="1">
      <alignment/>
      <protection/>
    </xf>
    <xf numFmtId="0" fontId="4" fillId="0" borderId="17" xfId="55" applyFont="1" applyFill="1" applyBorder="1" applyAlignment="1">
      <alignment horizontal="centerContinuous"/>
      <protection/>
    </xf>
    <xf numFmtId="0" fontId="4" fillId="0" borderId="22" xfId="55" applyFont="1" applyFill="1" applyBorder="1" applyAlignment="1">
      <alignment horizontal="centerContinuous"/>
      <protection/>
    </xf>
    <xf numFmtId="0" fontId="4" fillId="0" borderId="67" xfId="55" applyFont="1" applyFill="1" applyBorder="1" applyAlignment="1">
      <alignment horizontal="center" vertical="top"/>
      <protection/>
    </xf>
    <xf numFmtId="0" fontId="4" fillId="0" borderId="68" xfId="55" applyFont="1" applyFill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horizontal="center"/>
      <protection/>
    </xf>
    <xf numFmtId="0" fontId="4" fillId="0" borderId="44" xfId="55" applyFont="1" applyFill="1" applyBorder="1" applyAlignment="1">
      <alignment horizontal="center"/>
      <protection/>
    </xf>
    <xf numFmtId="3" fontId="8" fillId="0" borderId="0" xfId="55" applyNumberFormat="1" applyFont="1" applyFill="1" applyBorder="1" applyAlignment="1">
      <alignment/>
      <protection/>
    </xf>
    <xf numFmtId="3" fontId="8" fillId="0" borderId="44" xfId="55" applyNumberFormat="1" applyFont="1" applyFill="1" applyBorder="1" applyAlignment="1">
      <alignment/>
      <protection/>
    </xf>
    <xf numFmtId="3" fontId="8" fillId="0" borderId="23" xfId="55" applyNumberFormat="1" applyFont="1" applyFill="1" applyBorder="1" applyAlignment="1">
      <alignment/>
      <protection/>
    </xf>
    <xf numFmtId="3" fontId="8" fillId="0" borderId="46" xfId="55" applyNumberFormat="1" applyFont="1" applyFill="1" applyBorder="1" applyAlignment="1">
      <alignment/>
      <protection/>
    </xf>
    <xf numFmtId="0" fontId="4" fillId="0" borderId="21" xfId="55" applyFont="1" applyFill="1" applyBorder="1" applyAlignment="1">
      <alignment horizontal="center"/>
      <protection/>
    </xf>
    <xf numFmtId="0" fontId="4" fillId="0" borderId="34" xfId="55" applyFont="1" applyFill="1" applyBorder="1" applyAlignment="1">
      <alignment horizontal="center"/>
      <protection/>
    </xf>
    <xf numFmtId="3" fontId="8" fillId="0" borderId="55" xfId="55" applyNumberFormat="1" applyFont="1" applyFill="1" applyBorder="1" applyAlignment="1">
      <alignment horizontal="right"/>
      <protection/>
    </xf>
    <xf numFmtId="3" fontId="8" fillId="0" borderId="44" xfId="55" applyNumberFormat="1" applyFont="1" applyFill="1" applyBorder="1" applyAlignment="1">
      <alignment horizontal="right"/>
      <protection/>
    </xf>
    <xf numFmtId="3" fontId="8" fillId="0" borderId="19" xfId="55" applyNumberFormat="1" applyFont="1" applyFill="1" applyBorder="1" applyAlignment="1">
      <alignment horizontal="right"/>
      <protection/>
    </xf>
    <xf numFmtId="3" fontId="8" fillId="0" borderId="28" xfId="55" applyNumberFormat="1" applyFont="1" applyFill="1" applyBorder="1" applyAlignment="1">
      <alignment horizontal="right"/>
      <protection/>
    </xf>
    <xf numFmtId="3" fontId="8" fillId="0" borderId="46" xfId="55" applyNumberFormat="1" applyFont="1" applyFill="1" applyBorder="1" applyAlignment="1">
      <alignment horizontal="right"/>
      <protection/>
    </xf>
    <xf numFmtId="193" fontId="4" fillId="0" borderId="47" xfId="47" applyNumberFormat="1" applyFont="1" applyFill="1" applyBorder="1" applyAlignment="1">
      <alignment horizontal="centerContinuous" vertical="center"/>
    </xf>
    <xf numFmtId="193" fontId="4" fillId="0" borderId="48" xfId="47" applyNumberFormat="1" applyFont="1" applyFill="1" applyBorder="1" applyAlignment="1" applyProtection="1">
      <alignment horizontal="center" vertical="center"/>
      <protection/>
    </xf>
    <xf numFmtId="38" fontId="10" fillId="0" borderId="0" xfId="47" applyFont="1" applyFill="1" applyBorder="1" applyAlignment="1">
      <alignment/>
    </xf>
    <xf numFmtId="193" fontId="10" fillId="0" borderId="49" xfId="47" applyNumberFormat="1" applyFont="1" applyFill="1" applyBorder="1" applyAlignment="1">
      <alignment/>
    </xf>
    <xf numFmtId="0" fontId="10" fillId="0" borderId="0" xfId="56" applyFont="1" applyFill="1" applyBorder="1">
      <alignment/>
      <protection/>
    </xf>
    <xf numFmtId="38" fontId="10" fillId="0" borderId="23" xfId="47" applyFont="1" applyFill="1" applyBorder="1" applyAlignment="1">
      <alignment/>
    </xf>
    <xf numFmtId="193" fontId="10" fillId="0" borderId="50" xfId="47" applyNumberFormat="1" applyFont="1" applyFill="1" applyBorder="1" applyAlignment="1">
      <alignment/>
    </xf>
    <xf numFmtId="170" fontId="8" fillId="0" borderId="15" xfId="57" applyNumberFormat="1" applyFont="1" applyFill="1" applyBorder="1">
      <alignment/>
      <protection/>
    </xf>
    <xf numFmtId="170" fontId="8" fillId="0" borderId="42" xfId="57" applyNumberFormat="1" applyFont="1" applyFill="1" applyBorder="1">
      <alignment/>
      <protection/>
    </xf>
    <xf numFmtId="0" fontId="10" fillId="0" borderId="69" xfId="57" applyFont="1" applyFill="1" applyBorder="1" applyAlignment="1">
      <alignment horizontal="center" vertical="center"/>
      <protection/>
    </xf>
    <xf numFmtId="0" fontId="10" fillId="0" borderId="70" xfId="57" applyFont="1" applyFill="1" applyBorder="1" applyAlignment="1">
      <alignment horizontal="center" vertical="center"/>
      <protection/>
    </xf>
    <xf numFmtId="0" fontId="10" fillId="0" borderId="0" xfId="57" applyFont="1" applyFill="1" applyBorder="1">
      <alignment/>
      <protection/>
    </xf>
    <xf numFmtId="170" fontId="10" fillId="0" borderId="49" xfId="57" applyNumberFormat="1" applyFont="1" applyFill="1" applyBorder="1">
      <alignment/>
      <protection/>
    </xf>
    <xf numFmtId="0" fontId="10" fillId="0" borderId="23" xfId="57" applyFont="1" applyFill="1" applyBorder="1">
      <alignment/>
      <protection/>
    </xf>
    <xf numFmtId="170" fontId="10" fillId="0" borderId="50" xfId="57" applyNumberFormat="1" applyFont="1" applyFill="1" applyBorder="1">
      <alignment/>
      <protection/>
    </xf>
    <xf numFmtId="0" fontId="4" fillId="0" borderId="47" xfId="56" applyFont="1" applyFill="1" applyBorder="1" applyAlignment="1">
      <alignment horizontal="centerContinuous" vertical="center"/>
      <protection/>
    </xf>
    <xf numFmtId="0" fontId="4" fillId="0" borderId="48" xfId="58" applyFont="1" applyFill="1" applyBorder="1" applyAlignment="1" applyProtection="1">
      <alignment horizontal="center" vertical="center"/>
      <protection/>
    </xf>
    <xf numFmtId="170" fontId="8" fillId="0" borderId="49" xfId="58" applyNumberFormat="1" applyFont="1" applyFill="1" applyBorder="1">
      <alignment/>
      <protection/>
    </xf>
    <xf numFmtId="170" fontId="8" fillId="0" borderId="50" xfId="58" applyNumberFormat="1" applyFont="1" applyFill="1" applyBorder="1">
      <alignment/>
      <protection/>
    </xf>
    <xf numFmtId="0" fontId="4" fillId="0" borderId="38" xfId="56" applyFont="1" applyFill="1" applyBorder="1" applyAlignment="1">
      <alignment horizontal="centerContinuous" vertical="center"/>
      <protection/>
    </xf>
    <xf numFmtId="0" fontId="4" fillId="0" borderId="64" xfId="0" applyFont="1" applyFill="1" applyBorder="1" applyAlignment="1">
      <alignment horizontal="center" vertical="center" wrapText="1"/>
    </xf>
    <xf numFmtId="3" fontId="12" fillId="0" borderId="65" xfId="49" applyNumberFormat="1" applyFont="1" applyFill="1" applyBorder="1" applyAlignment="1">
      <alignment/>
      <protection/>
    </xf>
    <xf numFmtId="3" fontId="8" fillId="0" borderId="65" xfId="49" applyNumberFormat="1" applyFont="1" applyFill="1" applyBorder="1">
      <alignment/>
      <protection/>
    </xf>
    <xf numFmtId="3" fontId="12" fillId="0" borderId="65" xfId="49" applyNumberFormat="1" applyFont="1" applyFill="1" applyBorder="1">
      <alignment/>
      <protection/>
    </xf>
    <xf numFmtId="3" fontId="12" fillId="0" borderId="66" xfId="49" applyNumberFormat="1" applyFont="1" applyFill="1" applyBorder="1">
      <alignment/>
      <protection/>
    </xf>
    <xf numFmtId="0" fontId="4" fillId="0" borderId="71" xfId="50" applyFont="1" applyFill="1" applyBorder="1" applyAlignment="1" applyProtection="1">
      <alignment horizontal="center"/>
      <protection/>
    </xf>
    <xf numFmtId="0" fontId="4" fillId="0" borderId="19" xfId="50" applyFont="1" applyFill="1" applyBorder="1" applyAlignment="1" applyProtection="1">
      <alignment horizontal="center"/>
      <protection/>
    </xf>
    <xf numFmtId="0" fontId="4" fillId="0" borderId="49" xfId="50" applyFont="1" applyFill="1" applyBorder="1" applyAlignment="1" applyProtection="1">
      <alignment horizontal="center"/>
      <protection/>
    </xf>
    <xf numFmtId="3" fontId="8" fillId="0" borderId="35" xfId="50" applyNumberFormat="1" applyFont="1" applyFill="1" applyBorder="1" applyAlignment="1">
      <alignment horizontal="right"/>
      <protection/>
    </xf>
    <xf numFmtId="3" fontId="8" fillId="0" borderId="19" xfId="50" applyNumberFormat="1" applyFont="1" applyFill="1" applyBorder="1" applyAlignment="1">
      <alignment horizontal="right"/>
      <protection/>
    </xf>
    <xf numFmtId="3" fontId="8" fillId="0" borderId="49" xfId="50" applyNumberFormat="1" applyFont="1" applyFill="1" applyBorder="1" applyAlignment="1">
      <alignment horizontal="right"/>
      <protection/>
    </xf>
    <xf numFmtId="3" fontId="8" fillId="0" borderId="36" xfId="50" applyNumberFormat="1" applyFont="1" applyFill="1" applyBorder="1" applyAlignment="1">
      <alignment horizontal="right"/>
      <protection/>
    </xf>
    <xf numFmtId="3" fontId="8" fillId="0" borderId="50" xfId="50" applyNumberFormat="1" applyFont="1" applyFill="1" applyBorder="1" applyAlignment="1">
      <alignment horizontal="right"/>
      <protection/>
    </xf>
    <xf numFmtId="0" fontId="4" fillId="0" borderId="49" xfId="51" applyFont="1" applyFill="1" applyBorder="1">
      <alignment/>
      <protection/>
    </xf>
    <xf numFmtId="3" fontId="8" fillId="0" borderId="49" xfId="51" applyNumberFormat="1" applyFont="1" applyFill="1" applyBorder="1">
      <alignment/>
      <protection/>
    </xf>
    <xf numFmtId="3" fontId="8" fillId="0" borderId="49" xfId="51" applyNumberFormat="1" applyFont="1" applyFill="1" applyBorder="1" applyProtection="1">
      <alignment/>
      <protection/>
    </xf>
    <xf numFmtId="3" fontId="8" fillId="0" borderId="50" xfId="51" applyNumberFormat="1" applyFont="1" applyFill="1" applyBorder="1" applyProtection="1">
      <alignment/>
      <protection/>
    </xf>
    <xf numFmtId="2" fontId="8" fillId="0" borderId="50" xfId="52" applyNumberFormat="1" applyFont="1" applyFill="1" applyBorder="1" applyAlignment="1">
      <alignment horizontal="center"/>
      <protection/>
    </xf>
    <xf numFmtId="0" fontId="4" fillId="0" borderId="38" xfId="0" applyFont="1" applyFill="1" applyBorder="1" applyAlignment="1">
      <alignment horizontal="center" vertical="center"/>
    </xf>
    <xf numFmtId="1" fontId="4" fillId="0" borderId="37" xfId="0" applyNumberFormat="1" applyFont="1" applyFill="1" applyBorder="1" applyAlignment="1">
      <alignment horizontal="center" vertical="center"/>
    </xf>
    <xf numFmtId="1" fontId="4" fillId="0" borderId="38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44" xfId="0" applyFill="1" applyBorder="1" applyAlignment="1">
      <alignment/>
    </xf>
    <xf numFmtId="170" fontId="8" fillId="0" borderId="15" xfId="0" applyNumberFormat="1" applyFont="1" applyFill="1" applyBorder="1" applyAlignment="1">
      <alignment/>
    </xf>
    <xf numFmtId="170" fontId="8" fillId="0" borderId="35" xfId="0" applyNumberFormat="1" applyFont="1" applyFill="1" applyBorder="1" applyAlignment="1">
      <alignment/>
    </xf>
    <xf numFmtId="170" fontId="8" fillId="0" borderId="44" xfId="0" applyNumberFormat="1" applyFont="1" applyFill="1" applyBorder="1" applyAlignment="1">
      <alignment/>
    </xf>
    <xf numFmtId="170" fontId="8" fillId="0" borderId="15" xfId="0" applyNumberFormat="1" applyFont="1" applyFill="1" applyBorder="1" applyAlignment="1">
      <alignment/>
    </xf>
    <xf numFmtId="170" fontId="8" fillId="0" borderId="35" xfId="0" applyNumberFormat="1" applyFont="1" applyFill="1" applyBorder="1" applyAlignment="1">
      <alignment/>
    </xf>
    <xf numFmtId="170" fontId="8" fillId="0" borderId="44" xfId="0" applyNumberFormat="1" applyFont="1" applyFill="1" applyBorder="1" applyAlignment="1">
      <alignment/>
    </xf>
    <xf numFmtId="170" fontId="8" fillId="0" borderId="30" xfId="0" applyNumberFormat="1" applyFont="1" applyFill="1" applyBorder="1" applyAlignment="1">
      <alignment/>
    </xf>
    <xf numFmtId="170" fontId="8" fillId="0" borderId="71" xfId="0" applyNumberFormat="1" applyFont="1" applyFill="1" applyBorder="1" applyAlignment="1">
      <alignment/>
    </xf>
    <xf numFmtId="170" fontId="8" fillId="0" borderId="73" xfId="0" applyNumberFormat="1" applyFont="1" applyFill="1" applyBorder="1" applyAlignment="1">
      <alignment/>
    </xf>
    <xf numFmtId="170" fontId="8" fillId="0" borderId="74" xfId="0" applyNumberFormat="1" applyFont="1" applyFill="1" applyBorder="1" applyAlignment="1">
      <alignment/>
    </xf>
    <xf numFmtId="170" fontId="8" fillId="0" borderId="75" xfId="0" applyNumberFormat="1" applyFont="1" applyFill="1" applyBorder="1" applyAlignment="1">
      <alignment/>
    </xf>
    <xf numFmtId="170" fontId="8" fillId="0" borderId="76" xfId="0" applyNumberFormat="1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2" xfId="0" applyFont="1" applyFill="1" applyBorder="1" applyAlignment="1" quotePrefix="1">
      <alignment/>
    </xf>
    <xf numFmtId="0" fontId="4" fillId="0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6" xfId="0" applyFont="1" applyFill="1" applyBorder="1" applyAlignment="1" quotePrefix="1">
      <alignment/>
    </xf>
    <xf numFmtId="0" fontId="4" fillId="0" borderId="40" xfId="0" applyFont="1" applyFill="1" applyBorder="1" applyAlignment="1">
      <alignment/>
    </xf>
    <xf numFmtId="3" fontId="8" fillId="0" borderId="15" xfId="53" applyNumberFormat="1" applyFont="1" applyFill="1" applyBorder="1" applyAlignment="1">
      <alignment horizontal="center"/>
      <protection/>
    </xf>
    <xf numFmtId="170" fontId="8" fillId="0" borderId="0" xfId="53" applyNumberFormat="1" applyFont="1" applyFill="1" applyBorder="1" applyAlignment="1">
      <alignment horizontal="center"/>
      <protection/>
    </xf>
    <xf numFmtId="170" fontId="10" fillId="33" borderId="49" xfId="54" applyNumberFormat="1" applyFont="1" applyFill="1" applyBorder="1" applyAlignment="1">
      <alignment horizontal="center"/>
      <protection/>
    </xf>
    <xf numFmtId="38" fontId="8" fillId="0" borderId="15" xfId="47" applyFont="1" applyFill="1" applyBorder="1" applyAlignment="1">
      <alignment horizontal="center"/>
    </xf>
    <xf numFmtId="170" fontId="8" fillId="0" borderId="19" xfId="56" applyNumberFormat="1" applyFont="1" applyFill="1" applyBorder="1" applyAlignment="1">
      <alignment horizontal="center"/>
      <protection/>
    </xf>
    <xf numFmtId="0" fontId="4" fillId="33" borderId="38" xfId="56" applyFont="1" applyFill="1" applyBorder="1" applyAlignment="1">
      <alignment horizontal="centerContinuous" vertical="center"/>
      <protection/>
    </xf>
    <xf numFmtId="0" fontId="4" fillId="33" borderId="13" xfId="56" applyFont="1" applyFill="1" applyBorder="1" applyAlignment="1" applyProtection="1">
      <alignment horizontal="center" vertical="center"/>
      <protection/>
    </xf>
    <xf numFmtId="170" fontId="8" fillId="0" borderId="19" xfId="56" applyNumberFormat="1" applyFont="1" applyFill="1" applyBorder="1" applyAlignment="1">
      <alignment horizontal="right"/>
      <protection/>
    </xf>
    <xf numFmtId="170" fontId="8" fillId="0" borderId="40" xfId="56" applyNumberFormat="1" applyFont="1" applyFill="1" applyBorder="1" applyAlignment="1">
      <alignment horizontal="right"/>
      <protection/>
    </xf>
    <xf numFmtId="193" fontId="10" fillId="0" borderId="49" xfId="47" applyNumberFormat="1" applyFont="1" applyFill="1" applyBorder="1" applyAlignment="1">
      <alignment horizontal="center"/>
    </xf>
    <xf numFmtId="170" fontId="8" fillId="0" borderId="15" xfId="57" applyNumberFormat="1" applyFont="1" applyFill="1" applyBorder="1" applyAlignment="1">
      <alignment horizontal="center"/>
      <protection/>
    </xf>
    <xf numFmtId="170" fontId="8" fillId="0" borderId="19" xfId="57" applyNumberFormat="1" applyFont="1" applyFill="1" applyBorder="1" applyAlignment="1">
      <alignment horizontal="center"/>
      <protection/>
    </xf>
    <xf numFmtId="0" fontId="10" fillId="0" borderId="0" xfId="57" applyFont="1" applyFill="1" applyBorder="1" applyAlignment="1">
      <alignment horizontal="center"/>
      <protection/>
    </xf>
    <xf numFmtId="170" fontId="10" fillId="0" borderId="49" xfId="57" applyNumberFormat="1" applyFont="1" applyFill="1" applyBorder="1" applyAlignment="1">
      <alignment horizontal="center"/>
      <protection/>
    </xf>
    <xf numFmtId="170" fontId="8" fillId="0" borderId="19" xfId="57" applyNumberFormat="1" applyFont="1" applyFill="1" applyBorder="1" applyAlignment="1">
      <alignment horizontal="right"/>
      <protection/>
    </xf>
    <xf numFmtId="170" fontId="8" fillId="0" borderId="40" xfId="57" applyNumberFormat="1" applyFont="1" applyFill="1" applyBorder="1" applyAlignment="1">
      <alignment horizontal="right"/>
      <protection/>
    </xf>
    <xf numFmtId="3" fontId="8" fillId="0" borderId="15" xfId="58" applyNumberFormat="1" applyFont="1" applyFill="1" applyBorder="1" applyAlignment="1" applyProtection="1">
      <alignment horizontal="center"/>
      <protection/>
    </xf>
    <xf numFmtId="170" fontId="8" fillId="0" borderId="19" xfId="58" applyNumberFormat="1" applyFont="1" applyFill="1" applyBorder="1" applyAlignment="1">
      <alignment horizontal="center"/>
      <protection/>
    </xf>
    <xf numFmtId="170" fontId="8" fillId="0" borderId="49" xfId="58" applyNumberFormat="1" applyFont="1" applyFill="1" applyBorder="1" applyAlignment="1">
      <alignment horizontal="center"/>
      <protection/>
    </xf>
    <xf numFmtId="3" fontId="8" fillId="0" borderId="15" xfId="58" applyNumberFormat="1" applyFont="1" applyFill="1" applyBorder="1" applyAlignment="1" applyProtection="1">
      <alignment horizontal="right"/>
      <protection/>
    </xf>
    <xf numFmtId="170" fontId="8" fillId="0" borderId="19" xfId="58" applyNumberFormat="1" applyFont="1" applyFill="1" applyBorder="1" applyAlignment="1">
      <alignment horizontal="right"/>
      <protection/>
    </xf>
    <xf numFmtId="3" fontId="8" fillId="0" borderId="35" xfId="0" applyNumberFormat="1" applyFont="1" applyFill="1" applyBorder="1" applyAlignment="1">
      <alignment horizontal="center"/>
    </xf>
    <xf numFmtId="3" fontId="8" fillId="0" borderId="49" xfId="0" applyNumberFormat="1" applyFont="1" applyFill="1" applyBorder="1" applyAlignment="1">
      <alignment horizontal="center"/>
    </xf>
    <xf numFmtId="3" fontId="8" fillId="0" borderId="35" xfId="0" applyNumberFormat="1" applyFont="1" applyFill="1" applyBorder="1" applyAlignment="1">
      <alignment horizontal="right"/>
    </xf>
    <xf numFmtId="0" fontId="4" fillId="33" borderId="60" xfId="0" applyFont="1" applyFill="1" applyBorder="1" applyAlignment="1">
      <alignment horizontal="center" vertical="center" wrapText="1"/>
    </xf>
    <xf numFmtId="3" fontId="8" fillId="33" borderId="65" xfId="49" applyNumberFormat="1" applyFont="1" applyFill="1" applyBorder="1" applyAlignment="1">
      <alignment horizontal="center"/>
      <protection/>
    </xf>
    <xf numFmtId="3" fontId="8" fillId="0" borderId="35" xfId="50" applyNumberFormat="1" applyFont="1" applyFill="1" applyBorder="1" applyAlignment="1">
      <alignment horizontal="center"/>
      <protection/>
    </xf>
    <xf numFmtId="0" fontId="4" fillId="0" borderId="77" xfId="0" applyFont="1" applyFill="1" applyBorder="1" applyAlignment="1">
      <alignment horizontal="center" vertical="center" wrapText="1"/>
    </xf>
    <xf numFmtId="3" fontId="8" fillId="0" borderId="68" xfId="50" applyNumberFormat="1" applyFont="1" applyFill="1" applyBorder="1" applyAlignment="1">
      <alignment horizontal="right"/>
      <protection/>
    </xf>
    <xf numFmtId="2" fontId="8" fillId="0" borderId="36" xfId="52" applyNumberFormat="1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0" xfId="53" applyFont="1" applyFill="1" applyAlignment="1" applyProtection="1">
      <alignment horizontal="center"/>
      <protection/>
    </xf>
    <xf numFmtId="0" fontId="4" fillId="0" borderId="23" xfId="53" applyFont="1" applyFill="1" applyBorder="1" applyAlignment="1" applyProtection="1">
      <alignment horizontal="center"/>
      <protection/>
    </xf>
    <xf numFmtId="0" fontId="4" fillId="0" borderId="0" xfId="54" applyFont="1" applyFill="1" applyAlignment="1" applyProtection="1">
      <alignment horizontal="center"/>
      <protection/>
    </xf>
    <xf numFmtId="0" fontId="4" fillId="0" borderId="23" xfId="54" applyFont="1" applyFill="1" applyBorder="1" applyAlignment="1" applyProtection="1">
      <alignment horizontal="center"/>
      <protection/>
    </xf>
    <xf numFmtId="0" fontId="10" fillId="0" borderId="38" xfId="54" applyFont="1" applyFill="1" applyBorder="1" applyAlignment="1">
      <alignment horizontal="center" vertical="center"/>
      <protection/>
    </xf>
    <xf numFmtId="0" fontId="10" fillId="0" borderId="47" xfId="54" applyFont="1" applyFill="1" applyBorder="1" applyAlignment="1">
      <alignment horizontal="center" vertical="center"/>
      <protection/>
    </xf>
    <xf numFmtId="0" fontId="4" fillId="0" borderId="38" xfId="54" applyFont="1" applyFill="1" applyBorder="1" applyAlignment="1" quotePrefix="1">
      <alignment horizontal="center" vertical="center"/>
      <protection/>
    </xf>
    <xf numFmtId="0" fontId="4" fillId="0" borderId="18" xfId="54" applyFont="1" applyFill="1" applyBorder="1" applyAlignment="1" quotePrefix="1">
      <alignment horizontal="center" vertical="center"/>
      <protection/>
    </xf>
    <xf numFmtId="0" fontId="4" fillId="0" borderId="0" xfId="55" applyFont="1" applyFill="1" applyAlignment="1">
      <alignment horizontal="center"/>
      <protection/>
    </xf>
    <xf numFmtId="0" fontId="4" fillId="0" borderId="38" xfId="56" applyFont="1" applyFill="1" applyBorder="1" applyAlignment="1">
      <alignment horizontal="center" vertical="center"/>
      <protection/>
    </xf>
    <xf numFmtId="0" fontId="4" fillId="0" borderId="47" xfId="56" applyFont="1" applyFill="1" applyBorder="1" applyAlignment="1">
      <alignment horizontal="center" vertical="center"/>
      <protection/>
    </xf>
    <xf numFmtId="0" fontId="4" fillId="0" borderId="78" xfId="49" applyFont="1" applyFill="1" applyBorder="1" applyAlignment="1" applyProtection="1">
      <alignment horizontal="center" vertical="center"/>
      <protection/>
    </xf>
    <xf numFmtId="0" fontId="4" fillId="0" borderId="26" xfId="49" applyFont="1" applyFill="1" applyBorder="1" applyAlignment="1" applyProtection="1">
      <alignment horizontal="center" vertical="center"/>
      <protection/>
    </xf>
    <xf numFmtId="0" fontId="4" fillId="0" borderId="27" xfId="49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/>
    </xf>
  </cellXfs>
  <cellStyles count="6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_Be09" xfId="49"/>
    <cellStyle name="Normale_Be09s" xfId="50"/>
    <cellStyle name="Normale_BE10" xfId="51"/>
    <cellStyle name="Normale_BE11" xfId="52"/>
    <cellStyle name="Normale_BE3" xfId="53"/>
    <cellStyle name="Normale_BE4" xfId="54"/>
    <cellStyle name="Normale_BE4P" xfId="55"/>
    <cellStyle name="Normale_BE5" xfId="56"/>
    <cellStyle name="Normale_BE6" xfId="57"/>
    <cellStyle name="Normale_BE7" xfId="58"/>
    <cellStyle name="Nota" xfId="59"/>
    <cellStyle name="Output" xfId="60"/>
    <cellStyle name="Percent" xfId="61"/>
    <cellStyle name="Testo avviso" xfId="62"/>
    <cellStyle name="Testo descrittivo" xfId="63"/>
    <cellStyle name="Titolo" xfId="64"/>
    <cellStyle name="Titolo 1" xfId="65"/>
    <cellStyle name="Titolo 2" xfId="66"/>
    <cellStyle name="Titolo 3" xfId="67"/>
    <cellStyle name="Titolo 4" xfId="68"/>
    <cellStyle name="Totale" xfId="69"/>
    <cellStyle name="Valore non valido" xfId="70"/>
    <cellStyle name="Valore valido" xfId="71"/>
    <cellStyle name="Currency" xfId="72"/>
    <cellStyle name="Currency [0]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AB70"/>
  <sheetViews>
    <sheetView showGridLines="0" showZeros="0" tabSelected="1" zoomScale="75" zoomScaleNormal="75" zoomScalePageLayoutView="0" workbookViewId="0" topLeftCell="A1">
      <selection activeCell="R46" sqref="R46"/>
    </sheetView>
  </sheetViews>
  <sheetFormatPr defaultColWidth="9.140625" defaultRowHeight="12.75"/>
  <cols>
    <col min="1" max="1" width="9.140625" style="280" customWidth="1"/>
    <col min="2" max="2" width="22.57421875" style="280" customWidth="1"/>
    <col min="3" max="4" width="5.7109375" style="280" customWidth="1"/>
    <col min="5" max="5" width="6.8515625" style="280" customWidth="1"/>
    <col min="6" max="6" width="8.8515625" style="280" customWidth="1"/>
    <col min="7" max="7" width="6.8515625" style="280" customWidth="1"/>
    <col min="8" max="10" width="5.7109375" style="280" customWidth="1"/>
    <col min="11" max="11" width="6.421875" style="280" customWidth="1"/>
    <col min="12" max="12" width="8.28125" style="280" customWidth="1"/>
    <col min="13" max="13" width="7.28125" style="280" customWidth="1"/>
    <col min="14" max="14" width="9.28125" style="280" bestFit="1" customWidth="1"/>
    <col min="15" max="16" width="5.7109375" style="280" customWidth="1"/>
    <col min="17" max="17" width="6.421875" style="280" customWidth="1"/>
    <col min="18" max="18" width="8.8515625" style="280" customWidth="1"/>
    <col min="19" max="19" width="6.421875" style="280" customWidth="1"/>
    <col min="20" max="20" width="8.00390625" style="280" bestFit="1" customWidth="1"/>
    <col min="21" max="21" width="6.140625" style="280" customWidth="1"/>
    <col min="22" max="22" width="7.28125" style="280" customWidth="1"/>
    <col min="23" max="23" width="8.00390625" style="280" customWidth="1"/>
    <col min="24" max="25" width="5.7109375" style="280" customWidth="1"/>
    <col min="26" max="26" width="6.57421875" style="280" customWidth="1"/>
    <col min="27" max="27" width="5.7109375" style="280" customWidth="1"/>
    <col min="28" max="16384" width="9.140625" style="280" customWidth="1"/>
  </cols>
  <sheetData>
    <row r="1" ht="12.75">
      <c r="A1" s="279"/>
    </row>
    <row r="2" spans="1:20" ht="12.75">
      <c r="A2" s="60" t="s">
        <v>176</v>
      </c>
      <c r="B2" s="60"/>
      <c r="C2" s="60"/>
      <c r="D2" s="60"/>
      <c r="E2" s="60"/>
      <c r="F2" s="60"/>
      <c r="G2" s="60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</row>
    <row r="3" spans="1:20" ht="13.5" thickBot="1">
      <c r="A3" s="60" t="s">
        <v>177</v>
      </c>
      <c r="B3" s="60"/>
      <c r="C3" s="60"/>
      <c r="D3" s="60"/>
      <c r="E3" s="60"/>
      <c r="F3" s="60"/>
      <c r="G3" s="60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</row>
    <row r="4" spans="1:20" ht="15" customHeight="1" thickTop="1">
      <c r="A4" s="368"/>
      <c r="B4" s="61"/>
      <c r="C4" s="258">
        <v>2005</v>
      </c>
      <c r="D4" s="259"/>
      <c r="E4" s="259"/>
      <c r="F4" s="259"/>
      <c r="G4" s="259"/>
      <c r="H4" s="260"/>
      <c r="I4" s="258">
        <v>2006</v>
      </c>
      <c r="J4" s="259"/>
      <c r="K4" s="259"/>
      <c r="L4" s="259"/>
      <c r="M4" s="259"/>
      <c r="N4" s="261"/>
      <c r="O4" s="258">
        <v>2007</v>
      </c>
      <c r="P4" s="259"/>
      <c r="Q4" s="259"/>
      <c r="R4" s="259"/>
      <c r="S4" s="259"/>
      <c r="T4" s="261"/>
    </row>
    <row r="5" spans="1:20" ht="34.5" customHeight="1">
      <c r="A5" s="262" t="s">
        <v>178</v>
      </c>
      <c r="B5" s="263"/>
      <c r="C5" s="264" t="s">
        <v>179</v>
      </c>
      <c r="D5" s="265" t="s">
        <v>180</v>
      </c>
      <c r="E5" s="265" t="s">
        <v>181</v>
      </c>
      <c r="F5" s="265" t="s">
        <v>210</v>
      </c>
      <c r="G5" s="265" t="s">
        <v>182</v>
      </c>
      <c r="H5" s="266" t="s">
        <v>183</v>
      </c>
      <c r="I5" s="264" t="s">
        <v>179</v>
      </c>
      <c r="J5" s="265" t="s">
        <v>180</v>
      </c>
      <c r="K5" s="265" t="s">
        <v>181</v>
      </c>
      <c r="L5" s="265" t="s">
        <v>210</v>
      </c>
      <c r="M5" s="265" t="s">
        <v>182</v>
      </c>
      <c r="N5" s="267" t="s">
        <v>183</v>
      </c>
      <c r="O5" s="264" t="s">
        <v>179</v>
      </c>
      <c r="P5" s="265" t="s">
        <v>250</v>
      </c>
      <c r="Q5" s="265" t="s">
        <v>181</v>
      </c>
      <c r="R5" s="265" t="s">
        <v>210</v>
      </c>
      <c r="S5" s="265" t="s">
        <v>182</v>
      </c>
      <c r="T5" s="267" t="s">
        <v>183</v>
      </c>
    </row>
    <row r="6" spans="1:21" ht="12.75">
      <c r="A6" s="62" t="s">
        <v>184</v>
      </c>
      <c r="B6" s="1"/>
      <c r="C6" s="341">
        <v>0.629</v>
      </c>
      <c r="D6" s="342">
        <v>9.959</v>
      </c>
      <c r="E6" s="342">
        <v>6.111</v>
      </c>
      <c r="F6" s="342">
        <v>12.732</v>
      </c>
      <c r="G6" s="342"/>
      <c r="H6" s="348">
        <v>29.431</v>
      </c>
      <c r="I6" s="341">
        <v>0.51</v>
      </c>
      <c r="J6" s="342">
        <v>9.058</v>
      </c>
      <c r="K6" s="342">
        <v>5.769</v>
      </c>
      <c r="L6" s="342">
        <v>13.395</v>
      </c>
      <c r="M6" s="342"/>
      <c r="N6" s="343">
        <v>28.732</v>
      </c>
      <c r="O6" s="341">
        <v>0.54</v>
      </c>
      <c r="P6" s="342">
        <v>7.949</v>
      </c>
      <c r="Q6" s="342">
        <v>5.86</v>
      </c>
      <c r="R6" s="342">
        <v>13.569</v>
      </c>
      <c r="S6" s="342"/>
      <c r="T6" s="343">
        <v>27.918</v>
      </c>
      <c r="U6" s="282"/>
    </row>
    <row r="7" spans="1:21" ht="12.75">
      <c r="A7" s="63" t="s">
        <v>185</v>
      </c>
      <c r="B7" s="1"/>
      <c r="C7" s="341">
        <v>16.57</v>
      </c>
      <c r="D7" s="342">
        <v>60.605</v>
      </c>
      <c r="E7" s="342">
        <v>108.374</v>
      </c>
      <c r="F7" s="342">
        <v>0.78</v>
      </c>
      <c r="G7" s="342">
        <v>11.058</v>
      </c>
      <c r="H7" s="348">
        <v>197.387</v>
      </c>
      <c r="I7" s="341">
        <v>16.786</v>
      </c>
      <c r="J7" s="342">
        <v>63.854</v>
      </c>
      <c r="K7" s="342">
        <v>106.997</v>
      </c>
      <c r="L7" s="342">
        <v>0.838</v>
      </c>
      <c r="M7" s="342">
        <v>10.251</v>
      </c>
      <c r="N7" s="343">
        <v>198.726</v>
      </c>
      <c r="O7" s="341">
        <v>16.834</v>
      </c>
      <c r="P7" s="342">
        <v>60.565</v>
      </c>
      <c r="Q7" s="342">
        <v>107.817</v>
      </c>
      <c r="R7" s="342">
        <v>0.741</v>
      </c>
      <c r="S7" s="342">
        <v>10.765</v>
      </c>
      <c r="T7" s="343">
        <v>196.722</v>
      </c>
      <c r="U7" s="282"/>
    </row>
    <row r="8" spans="1:21" ht="12.75">
      <c r="A8" s="62" t="s">
        <v>186</v>
      </c>
      <c r="B8" s="1"/>
      <c r="C8" s="341">
        <v>0.196</v>
      </c>
      <c r="D8" s="342">
        <v>0.327</v>
      </c>
      <c r="E8" s="342">
        <v>28.904</v>
      </c>
      <c r="F8" s="342">
        <v>0.001</v>
      </c>
      <c r="G8" s="342">
        <v>0.244</v>
      </c>
      <c r="H8" s="348">
        <v>29.672</v>
      </c>
      <c r="I8" s="341">
        <v>0.187</v>
      </c>
      <c r="J8" s="344">
        <v>0.304</v>
      </c>
      <c r="K8" s="342">
        <v>27.336</v>
      </c>
      <c r="L8" s="342">
        <v>0.002</v>
      </c>
      <c r="M8" s="342">
        <v>0.354</v>
      </c>
      <c r="N8" s="343">
        <v>28.183</v>
      </c>
      <c r="O8" s="341">
        <v>0.185</v>
      </c>
      <c r="P8" s="342">
        <v>0.056</v>
      </c>
      <c r="Q8" s="342">
        <v>30.759</v>
      </c>
      <c r="R8" s="342">
        <v>0.006</v>
      </c>
      <c r="S8" s="342">
        <v>0.582</v>
      </c>
      <c r="T8" s="343">
        <v>31.588</v>
      </c>
      <c r="U8" s="282"/>
    </row>
    <row r="9" spans="1:21" ht="12.75">
      <c r="A9" s="62" t="s">
        <v>187</v>
      </c>
      <c r="B9" s="1"/>
      <c r="C9" s="341">
        <v>-0.035</v>
      </c>
      <c r="D9" s="342">
        <v>-0.932</v>
      </c>
      <c r="E9" s="342">
        <v>0.337</v>
      </c>
      <c r="F9" s="342">
        <v>0</v>
      </c>
      <c r="G9" s="342"/>
      <c r="H9" s="348">
        <v>-0.63</v>
      </c>
      <c r="I9" s="341">
        <v>-0.045</v>
      </c>
      <c r="J9" s="342">
        <v>2.91</v>
      </c>
      <c r="K9" s="342">
        <v>0.219</v>
      </c>
      <c r="L9" s="342">
        <v>0</v>
      </c>
      <c r="M9" s="342"/>
      <c r="N9" s="343">
        <v>3.084</v>
      </c>
      <c r="O9" s="341">
        <v>-0.023</v>
      </c>
      <c r="P9" s="342">
        <v>-1.072</v>
      </c>
      <c r="Q9" s="342">
        <v>0.458</v>
      </c>
      <c r="R9" s="342">
        <v>0</v>
      </c>
      <c r="S9" s="342"/>
      <c r="T9" s="343">
        <v>-0.637</v>
      </c>
      <c r="U9" s="282"/>
    </row>
    <row r="10" spans="1:22" s="283" customFormat="1" ht="12.75">
      <c r="A10" s="268" t="s">
        <v>188</v>
      </c>
      <c r="B10" s="269"/>
      <c r="C10" s="345"/>
      <c r="D10" s="346"/>
      <c r="E10" s="346"/>
      <c r="F10" s="346"/>
      <c r="G10" s="346"/>
      <c r="H10" s="346"/>
      <c r="I10" s="345"/>
      <c r="J10" s="346"/>
      <c r="K10" s="346"/>
      <c r="L10" s="346"/>
      <c r="M10" s="346"/>
      <c r="N10" s="347"/>
      <c r="O10" s="345"/>
      <c r="P10" s="346"/>
      <c r="Q10" s="346"/>
      <c r="R10" s="346"/>
      <c r="S10" s="346"/>
      <c r="T10" s="370"/>
      <c r="U10" s="282"/>
      <c r="V10" s="280"/>
    </row>
    <row r="11" spans="1:21" ht="12.75">
      <c r="A11" s="63" t="s">
        <v>189</v>
      </c>
      <c r="B11" s="1"/>
      <c r="C11" s="341">
        <v>17.038</v>
      </c>
      <c r="D11" s="348">
        <v>71.169</v>
      </c>
      <c r="E11" s="348">
        <v>85.244</v>
      </c>
      <c r="F11" s="348">
        <v>13.511</v>
      </c>
      <c r="G11" s="348">
        <v>10.814</v>
      </c>
      <c r="H11" s="357">
        <v>197.776</v>
      </c>
      <c r="I11" s="341">
        <v>17.154</v>
      </c>
      <c r="J11" s="348">
        <v>69.698</v>
      </c>
      <c r="K11" s="348">
        <v>85.211</v>
      </c>
      <c r="L11" s="348">
        <v>14.231</v>
      </c>
      <c r="M11" s="348">
        <v>9.897</v>
      </c>
      <c r="N11" s="343">
        <v>196.191</v>
      </c>
      <c r="O11" s="341">
        <v>17.212</v>
      </c>
      <c r="P11" s="348">
        <v>69.53</v>
      </c>
      <c r="Q11" s="348">
        <v>82.46</v>
      </c>
      <c r="R11" s="348">
        <v>14.304</v>
      </c>
      <c r="S11" s="348">
        <v>10.183</v>
      </c>
      <c r="T11" s="343">
        <v>193.689</v>
      </c>
      <c r="U11" s="282"/>
    </row>
    <row r="12" spans="1:21" ht="12.75">
      <c r="A12" s="62" t="s">
        <v>190</v>
      </c>
      <c r="B12" s="1"/>
      <c r="C12" s="345"/>
      <c r="D12" s="346"/>
      <c r="E12" s="346"/>
      <c r="F12" s="346"/>
      <c r="G12" s="346"/>
      <c r="H12" s="346"/>
      <c r="I12" s="345"/>
      <c r="J12" s="346"/>
      <c r="K12" s="346"/>
      <c r="L12" s="346"/>
      <c r="M12" s="346"/>
      <c r="N12" s="347"/>
      <c r="O12" s="345"/>
      <c r="P12" s="346"/>
      <c r="Q12" s="346"/>
      <c r="R12" s="346"/>
      <c r="S12" s="346"/>
      <c r="T12" s="347"/>
      <c r="U12" s="282"/>
    </row>
    <row r="13" spans="1:21" ht="12.75">
      <c r="A13" s="63" t="s">
        <v>191</v>
      </c>
      <c r="B13" s="1"/>
      <c r="C13" s="341">
        <v>-0.517</v>
      </c>
      <c r="D13" s="342">
        <v>-0.835</v>
      </c>
      <c r="E13" s="342">
        <v>-6.591</v>
      </c>
      <c r="F13" s="342">
        <v>-0.086</v>
      </c>
      <c r="G13" s="342">
        <v>-43.156</v>
      </c>
      <c r="H13" s="348">
        <v>-51.185</v>
      </c>
      <c r="I13" s="341">
        <v>-0.741</v>
      </c>
      <c r="J13" s="342">
        <v>-0.828</v>
      </c>
      <c r="K13" s="342">
        <v>-5.985</v>
      </c>
      <c r="L13" s="342">
        <v>-0.094</v>
      </c>
      <c r="M13" s="342">
        <v>-42.885</v>
      </c>
      <c r="N13" s="343">
        <v>-50.533</v>
      </c>
      <c r="O13" s="341">
        <v>-0.774</v>
      </c>
      <c r="P13" s="342">
        <v>-1.262</v>
      </c>
      <c r="Q13" s="342">
        <v>-6.085</v>
      </c>
      <c r="R13" s="342">
        <v>-0.099</v>
      </c>
      <c r="S13" s="342">
        <v>-42.555</v>
      </c>
      <c r="T13" s="343">
        <v>-50.775</v>
      </c>
      <c r="U13" s="282"/>
    </row>
    <row r="14" spans="1:21" ht="12.75">
      <c r="A14" s="62" t="s">
        <v>192</v>
      </c>
      <c r="B14" s="1"/>
      <c r="C14" s="341">
        <v>-11.892</v>
      </c>
      <c r="D14" s="342">
        <v>-25.284</v>
      </c>
      <c r="E14" s="342">
        <v>-9.434</v>
      </c>
      <c r="F14" s="349">
        <v>-11.598</v>
      </c>
      <c r="G14" s="349">
        <v>58.208</v>
      </c>
      <c r="H14" s="357">
        <v>0</v>
      </c>
      <c r="I14" s="341">
        <v>-11.857</v>
      </c>
      <c r="J14" s="342">
        <v>-26.023</v>
      </c>
      <c r="K14" s="342">
        <v>-9.501</v>
      </c>
      <c r="L14" s="349">
        <v>-12.152</v>
      </c>
      <c r="M14" s="349">
        <v>59.533</v>
      </c>
      <c r="N14" s="343"/>
      <c r="O14" s="341">
        <v>-11.937</v>
      </c>
      <c r="P14" s="342">
        <v>-28.086</v>
      </c>
      <c r="Q14" s="342">
        <v>-7.248</v>
      </c>
      <c r="R14" s="349">
        <v>-11.703</v>
      </c>
      <c r="S14" s="349">
        <v>58.974</v>
      </c>
      <c r="T14" s="343">
        <v>0</v>
      </c>
      <c r="U14" s="282"/>
    </row>
    <row r="15" spans="1:21" s="283" customFormat="1" ht="21.75" customHeight="1">
      <c r="A15" s="268" t="s">
        <v>193</v>
      </c>
      <c r="B15" s="270"/>
      <c r="C15" s="350">
        <v>4.629</v>
      </c>
      <c r="D15" s="351">
        <v>45.05</v>
      </c>
      <c r="E15" s="351">
        <v>69.219</v>
      </c>
      <c r="F15" s="352">
        <v>1.827</v>
      </c>
      <c r="G15" s="351">
        <v>25.866</v>
      </c>
      <c r="H15" s="358">
        <v>146.591</v>
      </c>
      <c r="I15" s="350">
        <v>4.556</v>
      </c>
      <c r="J15" s="351">
        <v>42.847</v>
      </c>
      <c r="K15" s="351">
        <v>69.725</v>
      </c>
      <c r="L15" s="352">
        <v>1.985</v>
      </c>
      <c r="M15" s="351">
        <v>26.545</v>
      </c>
      <c r="N15" s="353">
        <v>145.658</v>
      </c>
      <c r="O15" s="350">
        <v>4.501</v>
      </c>
      <c r="P15" s="351">
        <v>40.182</v>
      </c>
      <c r="Q15" s="351">
        <v>69.127</v>
      </c>
      <c r="R15" s="352">
        <v>2.502</v>
      </c>
      <c r="S15" s="351">
        <v>26.602</v>
      </c>
      <c r="T15" s="353">
        <v>142.914</v>
      </c>
      <c r="U15" s="282"/>
    </row>
    <row r="16" spans="1:23" ht="12.75">
      <c r="A16" s="63" t="s">
        <v>194</v>
      </c>
      <c r="B16" s="1"/>
      <c r="C16" s="341">
        <v>4.432</v>
      </c>
      <c r="D16" s="342">
        <v>16.97</v>
      </c>
      <c r="E16" s="342">
        <v>7.495</v>
      </c>
      <c r="F16" s="342">
        <v>0.265</v>
      </c>
      <c r="G16" s="342">
        <v>11.899</v>
      </c>
      <c r="H16" s="357">
        <v>41.061</v>
      </c>
      <c r="I16" s="341">
        <v>4.413</v>
      </c>
      <c r="J16" s="342">
        <v>16.418</v>
      </c>
      <c r="K16" s="342">
        <v>7.659</v>
      </c>
      <c r="L16" s="342">
        <v>0.292</v>
      </c>
      <c r="M16" s="342">
        <v>12.114</v>
      </c>
      <c r="N16" s="343">
        <v>40.896</v>
      </c>
      <c r="O16" s="341">
        <v>4.361</v>
      </c>
      <c r="P16" s="342">
        <v>15.694</v>
      </c>
      <c r="Q16" s="342">
        <v>7.145</v>
      </c>
      <c r="R16" s="342">
        <v>0.368</v>
      </c>
      <c r="S16" s="342">
        <v>11.999</v>
      </c>
      <c r="T16" s="343">
        <v>39.567</v>
      </c>
      <c r="U16" s="282"/>
      <c r="W16" s="64"/>
    </row>
    <row r="17" spans="1:23" ht="12.75">
      <c r="A17" s="63" t="s">
        <v>195</v>
      </c>
      <c r="B17" s="1"/>
      <c r="C17" s="341" t="s">
        <v>216</v>
      </c>
      <c r="D17" s="342">
        <v>0.384</v>
      </c>
      <c r="E17" s="342">
        <v>42.568</v>
      </c>
      <c r="F17" s="342">
        <v>0.157</v>
      </c>
      <c r="G17" s="342">
        <v>0.853</v>
      </c>
      <c r="H17" s="357">
        <v>43.962</v>
      </c>
      <c r="I17" s="341" t="s">
        <v>216</v>
      </c>
      <c r="J17" s="342">
        <v>0.439</v>
      </c>
      <c r="K17" s="342">
        <v>43.069</v>
      </c>
      <c r="L17" s="342">
        <v>0.153</v>
      </c>
      <c r="M17" s="342">
        <v>0.879</v>
      </c>
      <c r="N17" s="343">
        <v>44.54</v>
      </c>
      <c r="O17" s="341" t="s">
        <v>216</v>
      </c>
      <c r="P17" s="342">
        <v>0.484</v>
      </c>
      <c r="Q17" s="342">
        <v>43.385</v>
      </c>
      <c r="R17" s="342">
        <v>0.148</v>
      </c>
      <c r="S17" s="342">
        <v>0.895</v>
      </c>
      <c r="T17" s="343">
        <v>44.912</v>
      </c>
      <c r="U17" s="282"/>
      <c r="W17" s="64"/>
    </row>
    <row r="18" spans="1:23" ht="12.75">
      <c r="A18" s="63" t="s">
        <v>196</v>
      </c>
      <c r="B18" s="1"/>
      <c r="C18" s="341">
        <v>0.008</v>
      </c>
      <c r="D18" s="342">
        <v>26.525</v>
      </c>
      <c r="E18" s="342">
        <v>6.625</v>
      </c>
      <c r="F18" s="342">
        <v>1.252</v>
      </c>
      <c r="G18" s="342">
        <v>12.653</v>
      </c>
      <c r="H18" s="357">
        <v>47.063</v>
      </c>
      <c r="I18" s="341">
        <v>0.008</v>
      </c>
      <c r="J18" s="342">
        <v>24.887</v>
      </c>
      <c r="K18" s="342">
        <v>5.959</v>
      </c>
      <c r="L18" s="342">
        <v>1.371</v>
      </c>
      <c r="M18" s="342">
        <v>13.079</v>
      </c>
      <c r="N18" s="343">
        <v>45.304</v>
      </c>
      <c r="O18" s="341">
        <v>0.007</v>
      </c>
      <c r="P18" s="342">
        <v>23.079</v>
      </c>
      <c r="Q18" s="342">
        <v>5.111</v>
      </c>
      <c r="R18" s="342">
        <v>1.766</v>
      </c>
      <c r="S18" s="342">
        <v>13.221</v>
      </c>
      <c r="T18" s="343">
        <v>43.184</v>
      </c>
      <c r="U18" s="282"/>
      <c r="W18" s="64"/>
    </row>
    <row r="19" spans="1:23" ht="12.75">
      <c r="A19" s="63" t="s">
        <v>197</v>
      </c>
      <c r="B19" s="1"/>
      <c r="C19" s="341"/>
      <c r="D19" s="342">
        <v>0.171</v>
      </c>
      <c r="E19" s="342">
        <v>2.617</v>
      </c>
      <c r="F19" s="342">
        <v>0.153</v>
      </c>
      <c r="G19" s="342">
        <v>0.461</v>
      </c>
      <c r="H19" s="357">
        <v>3.402</v>
      </c>
      <c r="I19" s="341"/>
      <c r="J19" s="342">
        <v>0.15</v>
      </c>
      <c r="K19" s="342">
        <v>2.588</v>
      </c>
      <c r="L19" s="342">
        <v>0.169</v>
      </c>
      <c r="M19" s="342">
        <v>0.473</v>
      </c>
      <c r="N19" s="343">
        <v>3.38</v>
      </c>
      <c r="O19" s="341"/>
      <c r="P19" s="342">
        <v>0.156</v>
      </c>
      <c r="Q19" s="342">
        <v>2.457</v>
      </c>
      <c r="R19" s="342">
        <v>0.22</v>
      </c>
      <c r="S19" s="342">
        <v>0.487</v>
      </c>
      <c r="T19" s="343">
        <v>3.32</v>
      </c>
      <c r="U19" s="282"/>
      <c r="W19" s="64"/>
    </row>
    <row r="20" spans="1:23" ht="12.75">
      <c r="A20" s="63" t="s">
        <v>198</v>
      </c>
      <c r="B20" s="1"/>
      <c r="C20" s="341">
        <v>0.189</v>
      </c>
      <c r="D20" s="342">
        <v>1</v>
      </c>
      <c r="E20" s="342">
        <v>6.492</v>
      </c>
      <c r="F20" s="342">
        <v>0</v>
      </c>
      <c r="G20" s="342" t="s">
        <v>216</v>
      </c>
      <c r="H20" s="357">
        <v>7.681</v>
      </c>
      <c r="I20" s="341">
        <v>0.135</v>
      </c>
      <c r="J20" s="342">
        <v>0.953</v>
      </c>
      <c r="K20" s="342">
        <v>6.927</v>
      </c>
      <c r="L20" s="342">
        <v>0</v>
      </c>
      <c r="M20" s="342" t="s">
        <v>216</v>
      </c>
      <c r="N20" s="343">
        <v>8.015</v>
      </c>
      <c r="O20" s="341">
        <v>0.133</v>
      </c>
      <c r="P20" s="342">
        <v>0.769</v>
      </c>
      <c r="Q20" s="342">
        <v>7.471</v>
      </c>
      <c r="R20" s="342">
        <v>0</v>
      </c>
      <c r="S20" s="342" t="s">
        <v>216</v>
      </c>
      <c r="T20" s="343">
        <v>8.373</v>
      </c>
      <c r="U20" s="282"/>
      <c r="W20" s="64"/>
    </row>
    <row r="21" spans="1:23" ht="13.5" thickBot="1">
      <c r="A21" s="271" t="s">
        <v>199</v>
      </c>
      <c r="B21" s="65"/>
      <c r="C21" s="354" t="s">
        <v>216</v>
      </c>
      <c r="D21" s="355" t="s">
        <v>216</v>
      </c>
      <c r="E21" s="355">
        <v>3.422</v>
      </c>
      <c r="F21" s="355"/>
      <c r="G21" s="355" t="s">
        <v>216</v>
      </c>
      <c r="H21" s="359">
        <v>3.422</v>
      </c>
      <c r="I21" s="354" t="s">
        <v>216</v>
      </c>
      <c r="J21" s="355" t="s">
        <v>216</v>
      </c>
      <c r="K21" s="355">
        <v>3.523</v>
      </c>
      <c r="L21" s="355"/>
      <c r="M21" s="355" t="s">
        <v>216</v>
      </c>
      <c r="N21" s="356">
        <v>3.523</v>
      </c>
      <c r="O21" s="354" t="s">
        <v>216</v>
      </c>
      <c r="P21" s="355" t="s">
        <v>216</v>
      </c>
      <c r="Q21" s="355">
        <v>3.558</v>
      </c>
      <c r="R21" s="355"/>
      <c r="S21" s="355" t="s">
        <v>216</v>
      </c>
      <c r="T21" s="356">
        <v>3.558</v>
      </c>
      <c r="U21" s="284"/>
      <c r="W21" s="64"/>
    </row>
    <row r="22" spans="1:28" ht="13.5" thickTop="1">
      <c r="A22" s="64"/>
      <c r="B22" s="64"/>
      <c r="C22" s="336"/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3"/>
      <c r="P22" s="273"/>
      <c r="Q22" s="273"/>
      <c r="R22" s="273"/>
      <c r="S22" s="273"/>
      <c r="T22" s="273"/>
      <c r="U22" s="275"/>
      <c r="AB22" s="272"/>
    </row>
    <row r="23" spans="1:20" ht="13.5" thickBot="1">
      <c r="A23" s="336"/>
      <c r="B23" s="336"/>
      <c r="C23" s="336"/>
      <c r="D23" s="336"/>
      <c r="E23" s="336"/>
      <c r="F23" s="336"/>
      <c r="G23" s="336"/>
      <c r="H23" s="336"/>
      <c r="I23" s="336"/>
      <c r="J23" s="336"/>
      <c r="K23" s="336"/>
      <c r="L23" s="336"/>
      <c r="M23" s="336"/>
      <c r="N23" s="336"/>
      <c r="O23" s="336"/>
      <c r="P23" s="336"/>
      <c r="Q23" s="336"/>
      <c r="R23" s="336"/>
      <c r="S23" s="336"/>
      <c r="T23" s="336"/>
    </row>
    <row r="24" spans="1:20" ht="15" customHeight="1" thickTop="1">
      <c r="A24" s="368"/>
      <c r="B24" s="61"/>
      <c r="C24" s="258">
        <v>2008</v>
      </c>
      <c r="D24" s="259"/>
      <c r="E24" s="259"/>
      <c r="F24" s="259"/>
      <c r="G24" s="259"/>
      <c r="H24" s="260"/>
      <c r="I24" s="258">
        <v>2009</v>
      </c>
      <c r="J24" s="259"/>
      <c r="K24" s="259"/>
      <c r="L24" s="259"/>
      <c r="M24" s="259"/>
      <c r="N24" s="261"/>
      <c r="O24" s="258">
        <v>2010</v>
      </c>
      <c r="P24" s="259"/>
      <c r="Q24" s="259"/>
      <c r="R24" s="259"/>
      <c r="S24" s="259"/>
      <c r="T24" s="261"/>
    </row>
    <row r="25" spans="1:20" ht="34.5" customHeight="1">
      <c r="A25" s="262" t="s">
        <v>178</v>
      </c>
      <c r="B25" s="263"/>
      <c r="C25" s="264" t="s">
        <v>179</v>
      </c>
      <c r="D25" s="265" t="s">
        <v>250</v>
      </c>
      <c r="E25" s="265" t="s">
        <v>181</v>
      </c>
      <c r="F25" s="265" t="s">
        <v>210</v>
      </c>
      <c r="G25" s="265" t="s">
        <v>182</v>
      </c>
      <c r="H25" s="266" t="s">
        <v>183</v>
      </c>
      <c r="I25" s="264" t="s">
        <v>179</v>
      </c>
      <c r="J25" s="265" t="s">
        <v>248</v>
      </c>
      <c r="K25" s="265" t="s">
        <v>181</v>
      </c>
      <c r="L25" s="265" t="s">
        <v>210</v>
      </c>
      <c r="M25" s="265" t="s">
        <v>182</v>
      </c>
      <c r="N25" s="267" t="s">
        <v>183</v>
      </c>
      <c r="O25" s="264" t="s">
        <v>179</v>
      </c>
      <c r="P25" s="265" t="s">
        <v>248</v>
      </c>
      <c r="Q25" s="265" t="s">
        <v>181</v>
      </c>
      <c r="R25" s="265" t="s">
        <v>210</v>
      </c>
      <c r="S25" s="265" t="s">
        <v>182</v>
      </c>
      <c r="T25" s="267" t="s">
        <v>183</v>
      </c>
    </row>
    <row r="26" spans="1:20" ht="12.75">
      <c r="A26" s="62" t="s">
        <v>184</v>
      </c>
      <c r="B26" s="1"/>
      <c r="C26" s="341">
        <v>0.545</v>
      </c>
      <c r="D26" s="342">
        <v>7.58</v>
      </c>
      <c r="E26" s="342">
        <v>5.22</v>
      </c>
      <c r="F26" s="342">
        <v>16.333</v>
      </c>
      <c r="G26" s="342"/>
      <c r="H26" s="348">
        <v>29.678</v>
      </c>
      <c r="I26" s="341">
        <v>0.311</v>
      </c>
      <c r="J26" s="342">
        <v>6.562</v>
      </c>
      <c r="K26" s="342">
        <v>4.551</v>
      </c>
      <c r="L26" s="342">
        <v>18.885</v>
      </c>
      <c r="M26" s="342"/>
      <c r="N26" s="343">
        <v>30.309</v>
      </c>
      <c r="O26" s="341">
        <v>0.779</v>
      </c>
      <c r="P26" s="342">
        <v>6.885</v>
      </c>
      <c r="Q26" s="342">
        <v>5.08</v>
      </c>
      <c r="R26" s="342">
        <v>21.148</v>
      </c>
      <c r="S26" s="342"/>
      <c r="T26" s="343">
        <v>33.892</v>
      </c>
    </row>
    <row r="27" spans="1:22" ht="12.75">
      <c r="A27" s="63" t="s">
        <v>185</v>
      </c>
      <c r="B27" s="1"/>
      <c r="C27" s="341">
        <v>16.769</v>
      </c>
      <c r="D27" s="342">
        <v>62.954</v>
      </c>
      <c r="E27" s="342">
        <v>101.732</v>
      </c>
      <c r="F27" s="342">
        <v>0.809</v>
      </c>
      <c r="G27" s="342">
        <v>9.555</v>
      </c>
      <c r="H27" s="348">
        <v>191.819</v>
      </c>
      <c r="I27" s="341">
        <v>12.726</v>
      </c>
      <c r="J27" s="342">
        <v>56.716</v>
      </c>
      <c r="K27" s="342">
        <v>94.292</v>
      </c>
      <c r="L27" s="342">
        <v>1.354</v>
      </c>
      <c r="M27" s="342">
        <v>10.356</v>
      </c>
      <c r="N27" s="343">
        <v>175.444</v>
      </c>
      <c r="O27" s="341">
        <v>14.602</v>
      </c>
      <c r="P27" s="342">
        <v>61.715</v>
      </c>
      <c r="Q27" s="342">
        <v>96.996</v>
      </c>
      <c r="R27" s="342">
        <v>1.834</v>
      </c>
      <c r="S27" s="342">
        <v>10.117</v>
      </c>
      <c r="T27" s="343">
        <v>185.264</v>
      </c>
      <c r="U27" s="285"/>
      <c r="V27" s="285"/>
    </row>
    <row r="28" spans="1:22" ht="12.75">
      <c r="A28" s="62" t="s">
        <v>186</v>
      </c>
      <c r="B28" s="1"/>
      <c r="C28" s="341">
        <v>0.196</v>
      </c>
      <c r="D28" s="342">
        <v>0.172</v>
      </c>
      <c r="E28" s="342">
        <v>28.673</v>
      </c>
      <c r="F28" s="342">
        <v>0.102</v>
      </c>
      <c r="G28" s="342">
        <v>0.747</v>
      </c>
      <c r="H28" s="348">
        <v>29.89</v>
      </c>
      <c r="I28" s="341">
        <v>0.239</v>
      </c>
      <c r="J28" s="344">
        <v>0.102</v>
      </c>
      <c r="K28" s="342">
        <v>26.189</v>
      </c>
      <c r="L28" s="342">
        <v>0.087</v>
      </c>
      <c r="M28" s="342">
        <v>0.465</v>
      </c>
      <c r="N28" s="343">
        <v>27.082</v>
      </c>
      <c r="O28" s="341">
        <v>0.246</v>
      </c>
      <c r="P28" s="344">
        <v>0.116</v>
      </c>
      <c r="Q28" s="342">
        <v>29.24</v>
      </c>
      <c r="R28" s="342">
        <v>0.105</v>
      </c>
      <c r="S28" s="342">
        <v>0.402</v>
      </c>
      <c r="T28" s="343">
        <v>30.109</v>
      </c>
      <c r="V28" s="286"/>
    </row>
    <row r="29" spans="1:20" ht="12.75">
      <c r="A29" s="62" t="s">
        <v>187</v>
      </c>
      <c r="B29" s="1"/>
      <c r="C29" s="341">
        <v>0.377</v>
      </c>
      <c r="D29" s="342">
        <v>0.843</v>
      </c>
      <c r="E29" s="342">
        <v>-0.965</v>
      </c>
      <c r="F29" s="342">
        <v>0.048</v>
      </c>
      <c r="G29" s="342"/>
      <c r="H29" s="348">
        <v>0.303</v>
      </c>
      <c r="I29" s="341">
        <v>-0.291</v>
      </c>
      <c r="J29" s="342">
        <v>-0.726</v>
      </c>
      <c r="K29" s="342">
        <v>-0.641</v>
      </c>
      <c r="L29" s="342">
        <v>-0.014</v>
      </c>
      <c r="M29" s="342"/>
      <c r="N29" s="343">
        <v>-1.672</v>
      </c>
      <c r="O29" s="341">
        <v>0.189</v>
      </c>
      <c r="P29" s="342">
        <v>0.428</v>
      </c>
      <c r="Q29" s="342">
        <v>0.62</v>
      </c>
      <c r="R29" s="342">
        <v>0.025</v>
      </c>
      <c r="S29" s="342"/>
      <c r="T29" s="343">
        <v>1.262</v>
      </c>
    </row>
    <row r="30" spans="1:20" ht="12.75">
      <c r="A30" s="268" t="s">
        <v>188</v>
      </c>
      <c r="B30" s="269"/>
      <c r="C30" s="345"/>
      <c r="D30" s="346"/>
      <c r="E30" s="346"/>
      <c r="F30" s="346"/>
      <c r="G30" s="346"/>
      <c r="H30" s="346"/>
      <c r="I30" s="345"/>
      <c r="J30" s="346"/>
      <c r="K30" s="346"/>
      <c r="L30" s="346"/>
      <c r="M30" s="346"/>
      <c r="N30" s="347"/>
      <c r="O30" s="345"/>
      <c r="P30" s="346"/>
      <c r="Q30" s="346"/>
      <c r="R30" s="346"/>
      <c r="S30" s="346"/>
      <c r="T30" s="347"/>
    </row>
    <row r="31" spans="1:20" ht="12.75">
      <c r="A31" s="63" t="s">
        <v>189</v>
      </c>
      <c r="B31" s="1"/>
      <c r="C31" s="341">
        <v>16.741</v>
      </c>
      <c r="D31" s="348">
        <v>69.519</v>
      </c>
      <c r="E31" s="348">
        <v>79.244</v>
      </c>
      <c r="F31" s="348">
        <v>16.992</v>
      </c>
      <c r="G31" s="348">
        <v>8.808</v>
      </c>
      <c r="H31" s="357">
        <v>191.304</v>
      </c>
      <c r="I31" s="341">
        <v>13.089</v>
      </c>
      <c r="J31" s="348">
        <v>63.902</v>
      </c>
      <c r="K31" s="348">
        <v>73.295</v>
      </c>
      <c r="L31" s="348">
        <v>20.166</v>
      </c>
      <c r="M31" s="348">
        <v>9.891</v>
      </c>
      <c r="N31" s="343">
        <v>180.343</v>
      </c>
      <c r="O31" s="341">
        <v>14.946</v>
      </c>
      <c r="P31" s="348">
        <v>68.056</v>
      </c>
      <c r="Q31" s="348">
        <v>72.216</v>
      </c>
      <c r="R31" s="348">
        <v>22.852</v>
      </c>
      <c r="S31" s="348">
        <v>9.715</v>
      </c>
      <c r="T31" s="343">
        <v>187.785</v>
      </c>
    </row>
    <row r="32" spans="1:20" ht="12.75">
      <c r="A32" s="62" t="s">
        <v>190</v>
      </c>
      <c r="B32" s="1"/>
      <c r="C32" s="345"/>
      <c r="D32" s="346"/>
      <c r="E32" s="346"/>
      <c r="F32" s="346"/>
      <c r="G32" s="346"/>
      <c r="H32" s="346"/>
      <c r="I32" s="345"/>
      <c r="J32" s="346"/>
      <c r="K32" s="346"/>
      <c r="L32" s="346"/>
      <c r="M32" s="346"/>
      <c r="N32" s="347"/>
      <c r="O32" s="345"/>
      <c r="P32" s="346"/>
      <c r="Q32" s="346"/>
      <c r="R32" s="346"/>
      <c r="S32" s="346"/>
      <c r="T32" s="347"/>
    </row>
    <row r="33" spans="1:22" ht="12.75">
      <c r="A33" s="63" t="s">
        <v>191</v>
      </c>
      <c r="B33" s="1"/>
      <c r="C33" s="341">
        <v>-0.737</v>
      </c>
      <c r="D33" s="342">
        <v>-1.222</v>
      </c>
      <c r="E33" s="342">
        <v>-6.245</v>
      </c>
      <c r="F33" s="342">
        <v>-0.089</v>
      </c>
      <c r="G33" s="342">
        <v>-41.887</v>
      </c>
      <c r="H33" s="348">
        <v>-50.18</v>
      </c>
      <c r="I33" s="341">
        <v>-0.189</v>
      </c>
      <c r="J33" s="342">
        <v>-1.093</v>
      </c>
      <c r="K33" s="342">
        <v>-5.911</v>
      </c>
      <c r="L33" s="342">
        <v>-0.097</v>
      </c>
      <c r="M33" s="342">
        <v>-40.348</v>
      </c>
      <c r="N33" s="343">
        <v>-47.638</v>
      </c>
      <c r="O33" s="341">
        <v>-0.298</v>
      </c>
      <c r="P33" s="342">
        <v>-1.447</v>
      </c>
      <c r="Q33" s="342">
        <v>-6.108</v>
      </c>
      <c r="R33" s="342">
        <v>-0.006</v>
      </c>
      <c r="S33" s="342">
        <v>-41.342</v>
      </c>
      <c r="T33" s="343">
        <v>-49.201</v>
      </c>
      <c r="V33" s="287"/>
    </row>
    <row r="34" spans="1:22" ht="12.75">
      <c r="A34" s="62" t="s">
        <v>192</v>
      </c>
      <c r="B34" s="1"/>
      <c r="C34" s="341">
        <v>-11.892</v>
      </c>
      <c r="D34" s="342">
        <v>-27.768</v>
      </c>
      <c r="E34" s="342">
        <v>-6.217</v>
      </c>
      <c r="F34" s="349">
        <v>-13.803</v>
      </c>
      <c r="G34" s="349">
        <v>59.68</v>
      </c>
      <c r="H34" s="357">
        <v>0</v>
      </c>
      <c r="I34" s="341">
        <v>-10.2</v>
      </c>
      <c r="J34" s="342">
        <v>-23.769</v>
      </c>
      <c r="K34" s="342">
        <v>-5.069</v>
      </c>
      <c r="L34" s="349">
        <v>-16.36</v>
      </c>
      <c r="M34" s="349">
        <v>55.398</v>
      </c>
      <c r="N34" s="343"/>
      <c r="O34" s="341">
        <v>-10.679</v>
      </c>
      <c r="P34" s="342">
        <v>-24.618</v>
      </c>
      <c r="Q34" s="342">
        <v>-4.03</v>
      </c>
      <c r="R34" s="349">
        <v>-18.041</v>
      </c>
      <c r="S34" s="349">
        <v>57.368</v>
      </c>
      <c r="T34" s="343"/>
      <c r="V34" s="287"/>
    </row>
    <row r="35" spans="1:27" s="283" customFormat="1" ht="23.25" customHeight="1">
      <c r="A35" s="268" t="s">
        <v>193</v>
      </c>
      <c r="B35" s="270"/>
      <c r="C35" s="350">
        <v>4.112</v>
      </c>
      <c r="D35" s="351">
        <v>40.529</v>
      </c>
      <c r="E35" s="351">
        <v>66.782</v>
      </c>
      <c r="F35" s="352">
        <v>3.1</v>
      </c>
      <c r="G35" s="351">
        <v>26.601</v>
      </c>
      <c r="H35" s="358">
        <v>141.124</v>
      </c>
      <c r="I35" s="350">
        <v>2.7</v>
      </c>
      <c r="J35" s="351">
        <v>39.04</v>
      </c>
      <c r="K35" s="351">
        <v>62.315</v>
      </c>
      <c r="L35" s="352">
        <v>3.709</v>
      </c>
      <c r="M35" s="351">
        <v>24.941</v>
      </c>
      <c r="N35" s="353">
        <v>132.705</v>
      </c>
      <c r="O35" s="350">
        <v>3.969</v>
      </c>
      <c r="P35" s="351">
        <v>41.991</v>
      </c>
      <c r="Q35" s="351">
        <v>62.078</v>
      </c>
      <c r="R35" s="352">
        <v>4.805</v>
      </c>
      <c r="S35" s="351">
        <v>25.741</v>
      </c>
      <c r="T35" s="353">
        <v>138.584</v>
      </c>
      <c r="U35" s="287"/>
      <c r="V35" s="280"/>
      <c r="W35" s="280"/>
      <c r="X35" s="280"/>
      <c r="Y35" s="280"/>
      <c r="Z35" s="280"/>
      <c r="AA35" s="280"/>
    </row>
    <row r="36" spans="1:21" ht="12.75">
      <c r="A36" s="63" t="s">
        <v>194</v>
      </c>
      <c r="B36" s="1"/>
      <c r="C36" s="341">
        <v>3.981</v>
      </c>
      <c r="D36" s="342">
        <v>14.43</v>
      </c>
      <c r="E36" s="342">
        <v>7.019</v>
      </c>
      <c r="F36" s="342">
        <v>0.368</v>
      </c>
      <c r="G36" s="342">
        <v>11.614</v>
      </c>
      <c r="H36" s="357">
        <v>37.412</v>
      </c>
      <c r="I36" s="341">
        <v>2.593</v>
      </c>
      <c r="J36" s="342">
        <v>11.852</v>
      </c>
      <c r="K36" s="342">
        <v>5.284</v>
      </c>
      <c r="L36" s="342">
        <v>0.394</v>
      </c>
      <c r="M36" s="342">
        <v>9.832</v>
      </c>
      <c r="N36" s="343">
        <v>29.955</v>
      </c>
      <c r="O36" s="341">
        <v>3.862</v>
      </c>
      <c r="P36" s="342">
        <v>12.818</v>
      </c>
      <c r="Q36" s="342">
        <v>4.786</v>
      </c>
      <c r="R36" s="342">
        <v>0.219</v>
      </c>
      <c r="S36" s="342">
        <v>10.461</v>
      </c>
      <c r="T36" s="343">
        <v>32.146</v>
      </c>
      <c r="U36" s="287"/>
    </row>
    <row r="37" spans="1:21" ht="12.75">
      <c r="A37" s="63" t="s">
        <v>195</v>
      </c>
      <c r="B37" s="1"/>
      <c r="C37" s="341" t="s">
        <v>216</v>
      </c>
      <c r="D37" s="342">
        <v>0.55</v>
      </c>
      <c r="E37" s="342">
        <v>41.54</v>
      </c>
      <c r="F37" s="342">
        <v>0.662</v>
      </c>
      <c r="G37" s="342">
        <v>0.932</v>
      </c>
      <c r="H37" s="357">
        <v>43.684</v>
      </c>
      <c r="I37" s="341" t="s">
        <v>216</v>
      </c>
      <c r="J37" s="342">
        <v>0.601</v>
      </c>
      <c r="K37" s="342">
        <v>39.934</v>
      </c>
      <c r="L37" s="342">
        <v>1.059</v>
      </c>
      <c r="M37" s="342">
        <v>0.905</v>
      </c>
      <c r="N37" s="343">
        <v>42.499</v>
      </c>
      <c r="O37" s="341" t="s">
        <v>216</v>
      </c>
      <c r="P37" s="342">
        <v>0.695</v>
      </c>
      <c r="Q37" s="342">
        <v>39.499</v>
      </c>
      <c r="R37" s="342">
        <v>1.307</v>
      </c>
      <c r="S37" s="342">
        <v>0.917</v>
      </c>
      <c r="T37" s="343">
        <v>42.418</v>
      </c>
      <c r="U37" s="287"/>
    </row>
    <row r="38" spans="1:21" ht="12.75">
      <c r="A38" s="63" t="s">
        <v>196</v>
      </c>
      <c r="B38" s="1"/>
      <c r="C38" s="341">
        <v>0.005</v>
      </c>
      <c r="D38" s="342">
        <v>24.717</v>
      </c>
      <c r="E38" s="342">
        <v>5.127</v>
      </c>
      <c r="F38" s="342">
        <v>1.84</v>
      </c>
      <c r="G38" s="342">
        <v>13.567</v>
      </c>
      <c r="H38" s="357">
        <v>45.256</v>
      </c>
      <c r="I38" s="341">
        <v>0.004</v>
      </c>
      <c r="J38" s="342">
        <v>25.878</v>
      </c>
      <c r="K38" s="342">
        <v>4.768</v>
      </c>
      <c r="L38" s="342">
        <v>2.006</v>
      </c>
      <c r="M38" s="342">
        <v>13.718</v>
      </c>
      <c r="N38" s="343">
        <v>46.374</v>
      </c>
      <c r="O38" s="341">
        <v>0.004</v>
      </c>
      <c r="P38" s="342">
        <v>27.77</v>
      </c>
      <c r="Q38" s="342">
        <v>4.334</v>
      </c>
      <c r="R38" s="342">
        <v>3.141</v>
      </c>
      <c r="S38" s="342">
        <v>13.88</v>
      </c>
      <c r="T38" s="343">
        <v>49.129</v>
      </c>
      <c r="U38" s="287"/>
    </row>
    <row r="39" spans="1:21" ht="12.75">
      <c r="A39" s="63" t="s">
        <v>197</v>
      </c>
      <c r="B39" s="1"/>
      <c r="C39" s="341"/>
      <c r="D39" s="342">
        <v>0.137</v>
      </c>
      <c r="E39" s="342">
        <v>2.386</v>
      </c>
      <c r="F39" s="342">
        <v>0.23</v>
      </c>
      <c r="G39" s="342">
        <v>0.488</v>
      </c>
      <c r="H39" s="357">
        <v>3.241</v>
      </c>
      <c r="I39" s="341"/>
      <c r="J39" s="342">
        <v>0.142</v>
      </c>
      <c r="K39" s="342">
        <v>2.407</v>
      </c>
      <c r="L39" s="342">
        <v>0.25</v>
      </c>
      <c r="M39" s="342">
        <v>0.486</v>
      </c>
      <c r="N39" s="343">
        <v>3.285</v>
      </c>
      <c r="O39" s="341"/>
      <c r="P39" s="342">
        <v>0.142</v>
      </c>
      <c r="Q39" s="342">
        <v>2.272</v>
      </c>
      <c r="R39" s="342">
        <v>0.138</v>
      </c>
      <c r="S39" s="342">
        <v>0.483</v>
      </c>
      <c r="T39" s="343">
        <v>3.035</v>
      </c>
      <c r="U39" s="287"/>
    </row>
    <row r="40" spans="1:21" ht="12.75">
      <c r="A40" s="63" t="s">
        <v>198</v>
      </c>
      <c r="B40" s="1"/>
      <c r="C40" s="341">
        <v>0.126</v>
      </c>
      <c r="D40" s="342">
        <v>0.695</v>
      </c>
      <c r="E40" s="342">
        <v>6.937</v>
      </c>
      <c r="F40" s="342">
        <v>0</v>
      </c>
      <c r="G40" s="342" t="s">
        <v>216</v>
      </c>
      <c r="H40" s="357">
        <v>7.758</v>
      </c>
      <c r="I40" s="341">
        <v>0.103</v>
      </c>
      <c r="J40" s="342">
        <v>0.567</v>
      </c>
      <c r="K40" s="342">
        <v>6.55</v>
      </c>
      <c r="L40" s="342">
        <v>0</v>
      </c>
      <c r="M40" s="342" t="s">
        <v>216</v>
      </c>
      <c r="N40" s="343">
        <v>7.22</v>
      </c>
      <c r="O40" s="341">
        <v>0.103</v>
      </c>
      <c r="P40" s="342">
        <v>0.566</v>
      </c>
      <c r="Q40" s="342">
        <v>7.718</v>
      </c>
      <c r="R40" s="342">
        <v>0</v>
      </c>
      <c r="S40" s="342" t="s">
        <v>216</v>
      </c>
      <c r="T40" s="343">
        <v>8.387</v>
      </c>
      <c r="U40" s="287"/>
    </row>
    <row r="41" spans="1:21" ht="13.5" thickBot="1">
      <c r="A41" s="271" t="s">
        <v>199</v>
      </c>
      <c r="B41" s="65"/>
      <c r="C41" s="354" t="s">
        <v>216</v>
      </c>
      <c r="D41" s="355" t="s">
        <v>216</v>
      </c>
      <c r="E41" s="355">
        <v>3.773</v>
      </c>
      <c r="F41" s="355"/>
      <c r="G41" s="355" t="s">
        <v>216</v>
      </c>
      <c r="H41" s="359">
        <v>3.773</v>
      </c>
      <c r="I41" s="354" t="s">
        <v>216</v>
      </c>
      <c r="J41" s="355" t="s">
        <v>216</v>
      </c>
      <c r="K41" s="355">
        <v>3.372</v>
      </c>
      <c r="L41" s="355"/>
      <c r="M41" s="355" t="s">
        <v>216</v>
      </c>
      <c r="N41" s="356">
        <v>3.372</v>
      </c>
      <c r="O41" s="354" t="s">
        <v>216</v>
      </c>
      <c r="P41" s="355" t="s">
        <v>216</v>
      </c>
      <c r="Q41" s="355">
        <v>3.469</v>
      </c>
      <c r="R41" s="355"/>
      <c r="S41" s="355" t="s">
        <v>216</v>
      </c>
      <c r="T41" s="356">
        <v>3.469</v>
      </c>
      <c r="U41" s="287"/>
    </row>
    <row r="42" spans="1:2" ht="13.5" thickTop="1">
      <c r="A42" s="369"/>
      <c r="B42" s="274"/>
    </row>
    <row r="43" spans="1:2" ht="12.75">
      <c r="A43" s="1" t="s">
        <v>200</v>
      </c>
      <c r="B43" s="274"/>
    </row>
    <row r="44" spans="1:2" ht="12.75">
      <c r="A44" s="369" t="s">
        <v>201</v>
      </c>
      <c r="B44" s="369"/>
    </row>
    <row r="45" spans="1:2" ht="12.75">
      <c r="A45" s="276" t="s">
        <v>202</v>
      </c>
      <c r="B45" s="276"/>
    </row>
    <row r="46" spans="1:2" ht="12.75">
      <c r="A46" s="276" t="s">
        <v>203</v>
      </c>
      <c r="B46" s="276"/>
    </row>
    <row r="47" spans="1:20" ht="12.75">
      <c r="A47" s="276" t="s">
        <v>204</v>
      </c>
      <c r="B47" s="276"/>
      <c r="C47" s="276"/>
      <c r="D47" s="276"/>
      <c r="E47" s="276"/>
      <c r="F47" s="276"/>
      <c r="G47" s="276"/>
      <c r="H47" s="276"/>
      <c r="I47" s="276"/>
      <c r="J47" s="276"/>
      <c r="K47" s="276"/>
      <c r="L47" s="276"/>
      <c r="M47" s="276"/>
      <c r="N47" s="276"/>
      <c r="O47" s="276"/>
      <c r="P47" s="276"/>
      <c r="Q47" s="276"/>
      <c r="R47" s="276"/>
      <c r="S47" s="276"/>
      <c r="T47" s="276"/>
    </row>
    <row r="48" spans="1:20" ht="12.75">
      <c r="A48" s="276" t="s">
        <v>205</v>
      </c>
      <c r="B48" s="276"/>
      <c r="C48" s="276"/>
      <c r="D48" s="276"/>
      <c r="E48" s="276"/>
      <c r="F48" s="276"/>
      <c r="G48" s="276"/>
      <c r="H48" s="276"/>
      <c r="I48" s="276"/>
      <c r="J48" s="276"/>
      <c r="K48" s="276"/>
      <c r="L48" s="276"/>
      <c r="M48" s="276"/>
      <c r="N48" s="276"/>
      <c r="O48" s="276"/>
      <c r="P48" s="276"/>
      <c r="Q48" s="276"/>
      <c r="R48" s="276"/>
      <c r="S48" s="276"/>
      <c r="T48" s="276"/>
    </row>
    <row r="49" spans="1:20" ht="12.75">
      <c r="A49" s="276" t="s">
        <v>206</v>
      </c>
      <c r="B49" s="276"/>
      <c r="C49" s="276"/>
      <c r="D49" s="276"/>
      <c r="E49" s="276"/>
      <c r="F49" s="276"/>
      <c r="G49" s="276"/>
      <c r="H49" s="276"/>
      <c r="I49" s="276"/>
      <c r="J49" s="276"/>
      <c r="K49" s="276"/>
      <c r="L49" s="276"/>
      <c r="M49" s="276"/>
      <c r="N49" s="276"/>
      <c r="O49" s="276"/>
      <c r="P49" s="276"/>
      <c r="Q49" s="276"/>
      <c r="R49" s="276"/>
      <c r="S49" s="276"/>
      <c r="T49" s="276"/>
    </row>
    <row r="50" spans="1:20" ht="12.75">
      <c r="A50" s="276" t="s">
        <v>207</v>
      </c>
      <c r="B50" s="276"/>
      <c r="C50" s="276"/>
      <c r="D50" s="276"/>
      <c r="E50" s="276"/>
      <c r="F50" s="276"/>
      <c r="G50" s="276"/>
      <c r="H50" s="276"/>
      <c r="I50" s="276"/>
      <c r="J50" s="276"/>
      <c r="K50" s="276"/>
      <c r="L50" s="276"/>
      <c r="M50" s="276"/>
      <c r="N50" s="276"/>
      <c r="O50" s="276"/>
      <c r="P50" s="276"/>
      <c r="Q50" s="276"/>
      <c r="R50" s="276"/>
      <c r="S50" s="276"/>
      <c r="T50" s="276"/>
    </row>
    <row r="51" spans="1:20" ht="12.75">
      <c r="A51" s="276" t="s">
        <v>208</v>
      </c>
      <c r="B51" s="276"/>
      <c r="C51" s="276"/>
      <c r="D51" s="276"/>
      <c r="E51" s="276"/>
      <c r="F51" s="276"/>
      <c r="G51" s="276"/>
      <c r="H51" s="276"/>
      <c r="I51" s="276"/>
      <c r="J51" s="276"/>
      <c r="K51" s="276"/>
      <c r="L51" s="276"/>
      <c r="M51" s="276"/>
      <c r="N51" s="276"/>
      <c r="O51" s="276"/>
      <c r="P51" s="276"/>
      <c r="Q51" s="276"/>
      <c r="R51" s="276"/>
      <c r="S51" s="276"/>
      <c r="T51" s="276"/>
    </row>
    <row r="52" spans="1:20" ht="12.75">
      <c r="A52" s="276" t="s">
        <v>209</v>
      </c>
      <c r="B52" s="276"/>
      <c r="C52" s="276"/>
      <c r="D52" s="276"/>
      <c r="E52" s="276"/>
      <c r="F52" s="276"/>
      <c r="G52" s="276"/>
      <c r="H52" s="276"/>
      <c r="I52" s="276"/>
      <c r="J52" s="276"/>
      <c r="K52" s="276"/>
      <c r="L52" s="276"/>
      <c r="M52" s="276"/>
      <c r="N52" s="276"/>
      <c r="O52" s="276"/>
      <c r="P52" s="276"/>
      <c r="Q52" s="276"/>
      <c r="R52" s="276"/>
      <c r="S52" s="276"/>
      <c r="T52" s="276"/>
    </row>
    <row r="53" spans="1:20" ht="15">
      <c r="A53" s="276" t="s">
        <v>71</v>
      </c>
      <c r="B53" s="276"/>
      <c r="C53" s="276"/>
      <c r="D53" s="276"/>
      <c r="E53" s="276"/>
      <c r="F53" s="276"/>
      <c r="G53" s="276"/>
      <c r="H53" s="276"/>
      <c r="I53" s="276"/>
      <c r="J53" s="276"/>
      <c r="K53" s="276"/>
      <c r="L53" s="276"/>
      <c r="M53" s="276"/>
      <c r="N53" s="277"/>
      <c r="O53" s="276"/>
      <c r="P53" s="276"/>
      <c r="Q53" s="276"/>
      <c r="R53" s="276"/>
      <c r="S53" s="276"/>
      <c r="T53" s="277"/>
    </row>
    <row r="54" spans="1:20" ht="12.75">
      <c r="A54" s="384" t="s">
        <v>253</v>
      </c>
      <c r="B54" s="384"/>
      <c r="C54" s="384"/>
      <c r="D54" s="384"/>
      <c r="E54" s="384"/>
      <c r="F54" s="384"/>
      <c r="G54" s="384"/>
      <c r="H54" s="384"/>
      <c r="I54" s="384"/>
      <c r="J54" s="384"/>
      <c r="K54" s="384"/>
      <c r="L54" s="384"/>
      <c r="M54" s="384"/>
      <c r="N54" s="384"/>
      <c r="O54" s="384"/>
      <c r="P54" s="384"/>
      <c r="Q54" s="384"/>
      <c r="R54" s="384"/>
      <c r="S54" s="384"/>
      <c r="T54" s="278"/>
    </row>
    <row r="55" spans="1:20" ht="12.75">
      <c r="A55" s="278"/>
      <c r="B55" s="278"/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</row>
    <row r="56" spans="1:20" ht="12.75">
      <c r="A56" s="278"/>
      <c r="B56" s="278"/>
      <c r="C56" s="278"/>
      <c r="D56" s="278"/>
      <c r="E56" s="278"/>
      <c r="F56" s="278"/>
      <c r="G56" s="278"/>
      <c r="H56" s="278"/>
      <c r="I56" s="278"/>
      <c r="J56" s="278"/>
      <c r="K56" s="278"/>
      <c r="L56" s="278"/>
      <c r="M56" s="278"/>
      <c r="N56" s="278"/>
      <c r="O56" s="278"/>
      <c r="P56" s="278"/>
      <c r="Q56" s="278"/>
      <c r="R56" s="278"/>
      <c r="S56" s="278"/>
      <c r="T56" s="278"/>
    </row>
    <row r="57" spans="1:20" ht="12.75">
      <c r="A57" s="278"/>
      <c r="B57" s="278"/>
      <c r="C57" s="278"/>
      <c r="D57" s="278"/>
      <c r="E57" s="278"/>
      <c r="F57" s="278"/>
      <c r="G57" s="278"/>
      <c r="H57" s="278"/>
      <c r="I57" s="278"/>
      <c r="J57" s="278"/>
      <c r="K57" s="278"/>
      <c r="L57" s="278"/>
      <c r="M57" s="278"/>
      <c r="N57" s="278"/>
      <c r="O57" s="278"/>
      <c r="P57" s="278"/>
      <c r="Q57" s="278"/>
      <c r="R57" s="278"/>
      <c r="S57" s="278"/>
      <c r="T57" s="278"/>
    </row>
    <row r="58" spans="1:20" ht="12.75">
      <c r="A58" s="278"/>
      <c r="B58" s="278"/>
      <c r="C58" s="278"/>
      <c r="D58" s="278"/>
      <c r="E58" s="278"/>
      <c r="F58" s="278"/>
      <c r="G58" s="278"/>
      <c r="H58" s="278"/>
      <c r="I58" s="278"/>
      <c r="J58" s="278"/>
      <c r="K58" s="278"/>
      <c r="L58" s="278"/>
      <c r="M58" s="278"/>
      <c r="N58" s="278"/>
      <c r="O58" s="278"/>
      <c r="P58" s="278"/>
      <c r="Q58" s="278"/>
      <c r="R58" s="278"/>
      <c r="S58" s="278"/>
      <c r="T58" s="278"/>
    </row>
    <row r="59" spans="1:20" ht="12.75">
      <c r="A59" s="278"/>
      <c r="B59" s="278"/>
      <c r="C59" s="278"/>
      <c r="D59" s="278"/>
      <c r="E59" s="278"/>
      <c r="F59" s="278"/>
      <c r="G59" s="278"/>
      <c r="H59" s="278"/>
      <c r="I59" s="278"/>
      <c r="J59" s="278"/>
      <c r="K59" s="278"/>
      <c r="L59" s="278"/>
      <c r="M59" s="278"/>
      <c r="N59" s="278"/>
      <c r="O59" s="278"/>
      <c r="P59" s="278"/>
      <c r="Q59" s="278"/>
      <c r="R59" s="278"/>
      <c r="S59" s="278"/>
      <c r="T59" s="278"/>
    </row>
    <row r="60" spans="1:20" ht="12.75">
      <c r="A60" s="278"/>
      <c r="B60" s="278"/>
      <c r="C60" s="278"/>
      <c r="D60" s="278"/>
      <c r="E60" s="278"/>
      <c r="F60" s="278"/>
      <c r="G60" s="278"/>
      <c r="H60" s="278"/>
      <c r="I60" s="278"/>
      <c r="J60" s="278"/>
      <c r="K60" s="278"/>
      <c r="L60" s="278"/>
      <c r="M60" s="278"/>
      <c r="N60" s="278"/>
      <c r="O60" s="278"/>
      <c r="P60" s="278"/>
      <c r="Q60" s="278"/>
      <c r="R60" s="278"/>
      <c r="S60" s="278"/>
      <c r="T60" s="278"/>
    </row>
    <row r="61" spans="1:20" ht="12.75">
      <c r="A61" s="278"/>
      <c r="B61" s="278"/>
      <c r="C61" s="278"/>
      <c r="D61" s="278"/>
      <c r="E61" s="278"/>
      <c r="F61" s="278"/>
      <c r="G61" s="278"/>
      <c r="H61" s="278"/>
      <c r="I61" s="278"/>
      <c r="J61" s="278"/>
      <c r="K61" s="278"/>
      <c r="L61" s="278"/>
      <c r="M61" s="278"/>
      <c r="N61" s="278"/>
      <c r="O61" s="278"/>
      <c r="P61" s="278"/>
      <c r="Q61" s="278"/>
      <c r="R61" s="278"/>
      <c r="S61" s="278"/>
      <c r="T61" s="278"/>
    </row>
    <row r="62" spans="1:20" ht="12.75">
      <c r="A62" s="278"/>
      <c r="B62" s="278"/>
      <c r="C62" s="278"/>
      <c r="D62" s="278"/>
      <c r="E62" s="278"/>
      <c r="F62" s="278"/>
      <c r="G62" s="278"/>
      <c r="H62" s="278"/>
      <c r="I62" s="278"/>
      <c r="J62" s="278"/>
      <c r="K62" s="278"/>
      <c r="L62" s="278"/>
      <c r="M62" s="278"/>
      <c r="N62" s="278"/>
      <c r="O62" s="278"/>
      <c r="P62" s="278"/>
      <c r="Q62" s="278"/>
      <c r="R62" s="278"/>
      <c r="S62" s="278"/>
      <c r="T62" s="278"/>
    </row>
    <row r="63" spans="1:20" ht="12.75">
      <c r="A63" s="278"/>
      <c r="B63" s="278"/>
      <c r="C63" s="278"/>
      <c r="D63" s="278"/>
      <c r="E63" s="278"/>
      <c r="F63" s="278"/>
      <c r="G63" s="278"/>
      <c r="H63" s="278"/>
      <c r="I63" s="278"/>
      <c r="J63" s="278"/>
      <c r="K63" s="278"/>
      <c r="L63" s="278"/>
      <c r="M63" s="278"/>
      <c r="N63" s="278"/>
      <c r="O63" s="278"/>
      <c r="P63" s="278"/>
      <c r="Q63" s="278"/>
      <c r="R63" s="278"/>
      <c r="S63" s="278"/>
      <c r="T63" s="278"/>
    </row>
    <row r="64" spans="1:20" ht="12.75">
      <c r="A64" s="278"/>
      <c r="B64" s="278"/>
      <c r="C64" s="278"/>
      <c r="D64" s="278"/>
      <c r="E64" s="278"/>
      <c r="F64" s="278"/>
      <c r="G64" s="278"/>
      <c r="H64" s="278"/>
      <c r="I64" s="278"/>
      <c r="J64" s="278"/>
      <c r="K64" s="278"/>
      <c r="L64" s="278"/>
      <c r="M64" s="278"/>
      <c r="N64" s="278"/>
      <c r="O64" s="278"/>
      <c r="P64" s="278"/>
      <c r="Q64" s="278"/>
      <c r="R64" s="278"/>
      <c r="S64" s="278"/>
      <c r="T64" s="278"/>
    </row>
    <row r="65" spans="1:20" ht="12.75">
      <c r="A65" s="278"/>
      <c r="B65" s="278"/>
      <c r="C65" s="278"/>
      <c r="D65" s="278"/>
      <c r="E65" s="278"/>
      <c r="F65" s="278"/>
      <c r="G65" s="278"/>
      <c r="H65" s="278"/>
      <c r="I65" s="278"/>
      <c r="J65" s="278"/>
      <c r="K65" s="278"/>
      <c r="L65" s="278"/>
      <c r="M65" s="278"/>
      <c r="N65" s="278"/>
      <c r="O65" s="278"/>
      <c r="P65" s="278"/>
      <c r="Q65" s="278"/>
      <c r="R65" s="278"/>
      <c r="S65" s="278"/>
      <c r="T65" s="278"/>
    </row>
    <row r="66" spans="1:20" ht="12.75">
      <c r="A66" s="278"/>
      <c r="B66" s="278"/>
      <c r="C66" s="278"/>
      <c r="D66" s="278"/>
      <c r="E66" s="278"/>
      <c r="F66" s="278"/>
      <c r="G66" s="278"/>
      <c r="H66" s="278"/>
      <c r="I66" s="278"/>
      <c r="J66" s="278"/>
      <c r="K66" s="278"/>
      <c r="L66" s="278"/>
      <c r="M66" s="278"/>
      <c r="N66" s="278"/>
      <c r="O66" s="278"/>
      <c r="P66" s="278"/>
      <c r="Q66" s="278"/>
      <c r="R66" s="278"/>
      <c r="S66" s="278"/>
      <c r="T66" s="278"/>
    </row>
    <row r="67" spans="1:20" ht="12.75">
      <c r="A67" s="278"/>
      <c r="B67" s="278"/>
      <c r="C67" s="278"/>
      <c r="D67" s="278"/>
      <c r="E67" s="278"/>
      <c r="F67" s="278"/>
      <c r="G67" s="278"/>
      <c r="H67" s="278"/>
      <c r="I67" s="278"/>
      <c r="J67" s="278"/>
      <c r="K67" s="278"/>
      <c r="L67" s="278"/>
      <c r="M67" s="278"/>
      <c r="N67" s="278"/>
      <c r="O67" s="278"/>
      <c r="P67" s="278"/>
      <c r="Q67" s="278"/>
      <c r="R67" s="278"/>
      <c r="S67" s="278"/>
      <c r="T67" s="278"/>
    </row>
    <row r="68" spans="1:20" ht="12.75">
      <c r="A68" s="278"/>
      <c r="B68" s="278"/>
      <c r="C68" s="278"/>
      <c r="D68" s="278"/>
      <c r="E68" s="278"/>
      <c r="F68" s="278"/>
      <c r="G68" s="278"/>
      <c r="H68" s="278"/>
      <c r="I68" s="278"/>
      <c r="J68" s="278"/>
      <c r="K68" s="278"/>
      <c r="L68" s="278"/>
      <c r="M68" s="278"/>
      <c r="N68" s="278"/>
      <c r="O68" s="278"/>
      <c r="P68" s="278"/>
      <c r="Q68" s="278"/>
      <c r="R68" s="278"/>
      <c r="S68" s="278"/>
      <c r="T68" s="278"/>
    </row>
    <row r="69" spans="1:20" ht="12.75">
      <c r="A69" s="278"/>
      <c r="B69" s="278"/>
      <c r="C69" s="278"/>
      <c r="D69" s="278"/>
      <c r="E69" s="278"/>
      <c r="F69" s="278"/>
      <c r="G69" s="278"/>
      <c r="H69" s="278"/>
      <c r="I69" s="278"/>
      <c r="J69" s="278"/>
      <c r="K69" s="278"/>
      <c r="L69" s="278"/>
      <c r="M69" s="278"/>
      <c r="N69" s="278"/>
      <c r="O69" s="278"/>
      <c r="P69" s="278"/>
      <c r="Q69" s="278"/>
      <c r="R69" s="278"/>
      <c r="S69" s="278"/>
      <c r="T69" s="278"/>
    </row>
    <row r="70" spans="1:20" ht="12.75">
      <c r="A70" s="278"/>
      <c r="B70" s="278"/>
      <c r="C70" s="278"/>
      <c r="D70" s="278"/>
      <c r="E70" s="278"/>
      <c r="F70" s="278"/>
      <c r="G70" s="278"/>
      <c r="H70" s="278"/>
      <c r="I70" s="278"/>
      <c r="J70" s="278"/>
      <c r="K70" s="278"/>
      <c r="L70" s="278"/>
      <c r="M70" s="278"/>
      <c r="N70" s="278"/>
      <c r="O70" s="278"/>
      <c r="P70" s="278"/>
      <c r="Q70" s="278"/>
      <c r="R70" s="278"/>
      <c r="S70" s="278"/>
      <c r="T70" s="278"/>
    </row>
  </sheetData>
  <sheetProtection/>
  <printOptions horizontalCentered="1"/>
  <pageMargins left="0.3937007874015748" right="0.3937007874015748" top="0.55" bottom="0.56" header="0.5" footer="0.5"/>
  <pageSetup fitToHeight="1" fitToWidth="1" orientation="landscape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0">
    <pageSetUpPr fitToPage="1"/>
  </sheetPr>
  <dimension ref="A1:F32"/>
  <sheetViews>
    <sheetView showGridLines="0" zoomScalePageLayoutView="0" workbookViewId="0" topLeftCell="A1">
      <selection activeCell="A31" sqref="A31"/>
    </sheetView>
  </sheetViews>
  <sheetFormatPr defaultColWidth="10.28125" defaultRowHeight="12.75"/>
  <cols>
    <col min="1" max="1" width="32.140625" style="300" customWidth="1"/>
    <col min="2" max="2" width="11.421875" style="300" customWidth="1"/>
    <col min="3" max="3" width="11.00390625" style="300" customWidth="1"/>
    <col min="4" max="5" width="10.421875" style="300" customWidth="1"/>
    <col min="6" max="6" width="11.7109375" style="300" customWidth="1"/>
    <col min="7" max="16384" width="10.28125" style="300" customWidth="1"/>
  </cols>
  <sheetData>
    <row r="1" spans="1:5" ht="12.75">
      <c r="A1" s="126" t="s">
        <v>247</v>
      </c>
      <c r="B1" s="59"/>
      <c r="C1" s="59"/>
      <c r="D1" s="59"/>
      <c r="E1" s="59"/>
    </row>
    <row r="2" spans="1:5" ht="13.5" thickBot="1">
      <c r="A2" s="126" t="s">
        <v>238</v>
      </c>
      <c r="B2" s="301"/>
      <c r="C2" s="59"/>
      <c r="D2" s="301"/>
      <c r="E2" s="301"/>
    </row>
    <row r="3" spans="1:6" ht="12.75">
      <c r="A3" s="374"/>
      <c r="B3" s="594" t="s">
        <v>102</v>
      </c>
      <c r="C3" s="595"/>
      <c r="D3" s="595"/>
      <c r="E3" s="595"/>
      <c r="F3" s="596"/>
    </row>
    <row r="4" spans="1:6" ht="12.75">
      <c r="A4" s="375"/>
      <c r="B4" s="575">
        <v>2006</v>
      </c>
      <c r="C4" s="448">
        <v>2007</v>
      </c>
      <c r="D4" s="448">
        <v>2008</v>
      </c>
      <c r="E4" s="448">
        <v>2009</v>
      </c>
      <c r="F4" s="505">
        <v>2010</v>
      </c>
    </row>
    <row r="5" spans="1:6" ht="12.75">
      <c r="A5" s="362" t="s">
        <v>103</v>
      </c>
      <c r="B5" s="449">
        <v>10979</v>
      </c>
      <c r="C5" s="449">
        <v>9706</v>
      </c>
      <c r="D5" s="449">
        <v>9255</v>
      </c>
      <c r="E5" s="449">
        <v>8013</v>
      </c>
      <c r="F5" s="506">
        <v>8406</v>
      </c>
    </row>
    <row r="6" spans="1:6" ht="12.75">
      <c r="A6" s="363"/>
      <c r="B6" s="449"/>
      <c r="C6" s="449"/>
      <c r="D6" s="449"/>
      <c r="E6" s="449"/>
      <c r="F6" s="506"/>
    </row>
    <row r="7" spans="1:6" ht="12.75">
      <c r="A7" s="364" t="s">
        <v>217</v>
      </c>
      <c r="B7" s="449">
        <f>B9+B19</f>
        <v>77399</v>
      </c>
      <c r="C7" s="449">
        <f>C9+C19</f>
        <v>73950</v>
      </c>
      <c r="D7" s="449">
        <f>D9+D19</f>
        <v>76867</v>
      </c>
      <c r="E7" s="449">
        <f>E9+E19</f>
        <v>69250</v>
      </c>
      <c r="F7" s="506">
        <f>F9+F19</f>
        <v>75354</v>
      </c>
    </row>
    <row r="8" spans="1:6" ht="12.75">
      <c r="A8" s="364"/>
      <c r="B8" s="449"/>
      <c r="C8" s="449"/>
      <c r="D8" s="449"/>
      <c r="E8" s="449"/>
      <c r="F8" s="506"/>
    </row>
    <row r="9" spans="1:6" ht="12.75">
      <c r="A9" s="373" t="s">
        <v>218</v>
      </c>
      <c r="B9" s="449">
        <f>SUM(B11:B17)</f>
        <v>74210</v>
      </c>
      <c r="C9" s="449">
        <f>SUM(C11:C17)</f>
        <v>71519</v>
      </c>
      <c r="D9" s="449">
        <f>SUM(D11:D17)</f>
        <v>75312</v>
      </c>
      <c r="E9" s="449">
        <f>SUM(E11:E17)</f>
        <v>66360</v>
      </c>
      <c r="F9" s="506">
        <f>SUM(F11:F17)</f>
        <v>66411</v>
      </c>
    </row>
    <row r="10" spans="1:6" ht="12.75">
      <c r="A10" s="365"/>
      <c r="B10" s="449"/>
      <c r="C10" s="449"/>
      <c r="D10" s="449"/>
      <c r="E10" s="449"/>
      <c r="F10" s="506"/>
    </row>
    <row r="11" spans="1:6" ht="12.75">
      <c r="A11" s="366" t="s">
        <v>32</v>
      </c>
      <c r="B11" s="450">
        <v>25005</v>
      </c>
      <c r="C11" s="450">
        <f>24584-C21</f>
        <v>22153</v>
      </c>
      <c r="D11" s="450">
        <v>24437</v>
      </c>
      <c r="E11" s="450">
        <f>21330+41</f>
        <v>21371</v>
      </c>
      <c r="F11" s="507">
        <v>26036</v>
      </c>
    </row>
    <row r="12" spans="1:6" ht="12.75">
      <c r="A12" s="366" t="s">
        <v>22</v>
      </c>
      <c r="B12" s="450">
        <v>22520</v>
      </c>
      <c r="C12" s="450">
        <v>22667</v>
      </c>
      <c r="D12" s="450">
        <v>23486</v>
      </c>
      <c r="E12" s="450">
        <v>19999</v>
      </c>
      <c r="F12" s="507">
        <v>14964</v>
      </c>
    </row>
    <row r="13" spans="1:6" ht="12.75">
      <c r="A13" s="366" t="s">
        <v>214</v>
      </c>
      <c r="B13" s="450">
        <v>7692</v>
      </c>
      <c r="C13" s="450">
        <v>9241</v>
      </c>
      <c r="D13" s="450">
        <v>9871</v>
      </c>
      <c r="E13" s="450">
        <v>9168</v>
      </c>
      <c r="F13" s="507">
        <v>9401</v>
      </c>
    </row>
    <row r="14" spans="1:6" ht="12.75">
      <c r="A14" s="366" t="s">
        <v>219</v>
      </c>
      <c r="B14" s="450">
        <v>9372</v>
      </c>
      <c r="C14" s="450">
        <v>8038</v>
      </c>
      <c r="D14" s="450">
        <v>7050</v>
      </c>
      <c r="E14" s="450">
        <v>4278</v>
      </c>
      <c r="F14" s="507">
        <v>3163</v>
      </c>
    </row>
    <row r="15" spans="1:6" ht="12.75">
      <c r="A15" s="366" t="s">
        <v>68</v>
      </c>
      <c r="B15" s="450">
        <v>5745</v>
      </c>
      <c r="C15" s="450">
        <v>5581</v>
      </c>
      <c r="D15" s="450">
        <v>5535</v>
      </c>
      <c r="E15" s="450">
        <v>4160</v>
      </c>
      <c r="F15" s="507">
        <f>2987-163</f>
        <v>2824</v>
      </c>
    </row>
    <row r="16" spans="1:6" ht="12.75">
      <c r="A16" s="366" t="s">
        <v>237</v>
      </c>
      <c r="B16" s="450">
        <v>1227</v>
      </c>
      <c r="C16" s="450">
        <v>748</v>
      </c>
      <c r="D16" s="450">
        <v>635</v>
      </c>
      <c r="E16" s="450">
        <v>835</v>
      </c>
      <c r="F16" s="507">
        <v>450</v>
      </c>
    </row>
    <row r="17" spans="1:6" ht="12.75">
      <c r="A17" s="366" t="s">
        <v>174</v>
      </c>
      <c r="B17" s="450">
        <f>3364-715</f>
        <v>2649</v>
      </c>
      <c r="C17" s="450">
        <f>2756+335</f>
        <v>3091</v>
      </c>
      <c r="D17" s="450">
        <f>133+474+1165+2525+1</f>
        <v>4298</v>
      </c>
      <c r="E17" s="450">
        <v>6549</v>
      </c>
      <c r="F17" s="507">
        <f>9515+58</f>
        <v>9573</v>
      </c>
    </row>
    <row r="18" spans="1:6" ht="12.75">
      <c r="A18" s="364"/>
      <c r="B18" s="450"/>
      <c r="C18" s="450"/>
      <c r="D18" s="450"/>
      <c r="E18" s="450"/>
      <c r="F18" s="507"/>
    </row>
    <row r="19" spans="1:6" ht="12.75">
      <c r="A19" s="373" t="s">
        <v>222</v>
      </c>
      <c r="B19" s="451">
        <f>SUM(B21:B22)</f>
        <v>3189</v>
      </c>
      <c r="C19" s="451">
        <f>SUM(C21:C22)</f>
        <v>2431</v>
      </c>
      <c r="D19" s="451">
        <f>SUM(D21:D25)</f>
        <v>1555</v>
      </c>
      <c r="E19" s="451">
        <f>SUM(E21:E25)</f>
        <v>2890</v>
      </c>
      <c r="F19" s="508">
        <f>SUM(F21:F25)</f>
        <v>8943</v>
      </c>
    </row>
    <row r="20" spans="1:6" ht="12.75">
      <c r="A20" s="365"/>
      <c r="B20" s="450"/>
      <c r="C20" s="450"/>
      <c r="D20" s="450"/>
      <c r="E20" s="450"/>
      <c r="F20" s="507"/>
    </row>
    <row r="21" spans="1:6" ht="12.75">
      <c r="A21" s="366" t="s">
        <v>32</v>
      </c>
      <c r="B21" s="450">
        <v>3164</v>
      </c>
      <c r="C21" s="450">
        <v>2431</v>
      </c>
      <c r="D21" s="450">
        <v>1555</v>
      </c>
      <c r="E21" s="450">
        <v>1299</v>
      </c>
      <c r="F21" s="507">
        <v>1634</v>
      </c>
    </row>
    <row r="22" spans="1:6" ht="12.75">
      <c r="A22" s="366" t="s">
        <v>220</v>
      </c>
      <c r="B22" s="450">
        <v>25</v>
      </c>
      <c r="C22" s="576" t="s">
        <v>252</v>
      </c>
      <c r="D22" s="576" t="s">
        <v>252</v>
      </c>
      <c r="E22" s="576" t="s">
        <v>252</v>
      </c>
      <c r="F22" s="507">
        <v>168</v>
      </c>
    </row>
    <row r="23" spans="1:6" ht="12.75">
      <c r="A23" s="366" t="s">
        <v>249</v>
      </c>
      <c r="B23" s="576" t="s">
        <v>252</v>
      </c>
      <c r="C23" s="576" t="s">
        <v>252</v>
      </c>
      <c r="D23" s="576" t="s">
        <v>252</v>
      </c>
      <c r="E23" s="450">
        <v>1591</v>
      </c>
      <c r="F23" s="507">
        <v>6154</v>
      </c>
    </row>
    <row r="24" spans="1:6" ht="12.75">
      <c r="A24" s="366" t="s">
        <v>240</v>
      </c>
      <c r="B24" s="576" t="s">
        <v>252</v>
      </c>
      <c r="C24" s="576" t="s">
        <v>252</v>
      </c>
      <c r="D24" s="576" t="s">
        <v>252</v>
      </c>
      <c r="E24" s="576" t="s">
        <v>252</v>
      </c>
      <c r="F24" s="507">
        <v>824</v>
      </c>
    </row>
    <row r="25" spans="1:6" ht="12.75">
      <c r="A25" s="366" t="s">
        <v>68</v>
      </c>
      <c r="B25" s="576" t="s">
        <v>252</v>
      </c>
      <c r="C25" s="576" t="s">
        <v>252</v>
      </c>
      <c r="D25" s="576" t="s">
        <v>252</v>
      </c>
      <c r="E25" s="576" t="s">
        <v>252</v>
      </c>
      <c r="F25" s="507">
        <v>163</v>
      </c>
    </row>
    <row r="26" spans="1:6" ht="12.75">
      <c r="A26" s="366"/>
      <c r="B26" s="450"/>
      <c r="C26" s="450"/>
      <c r="D26" s="450"/>
      <c r="E26" s="450"/>
      <c r="F26" s="507"/>
    </row>
    <row r="27" spans="1:6" ht="12.75">
      <c r="A27" s="364" t="s">
        <v>224</v>
      </c>
      <c r="B27" s="451">
        <v>369</v>
      </c>
      <c r="C27" s="451">
        <v>68</v>
      </c>
      <c r="D27" s="451">
        <v>210</v>
      </c>
      <c r="E27" s="451">
        <v>125</v>
      </c>
      <c r="F27" s="508">
        <v>141</v>
      </c>
    </row>
    <row r="28" spans="1:6" ht="12.75">
      <c r="A28" s="367" t="s">
        <v>223</v>
      </c>
      <c r="B28" s="451">
        <v>3526</v>
      </c>
      <c r="C28" s="451">
        <v>-1309</v>
      </c>
      <c r="D28" s="451">
        <v>1029</v>
      </c>
      <c r="E28" s="451">
        <v>-885.6</v>
      </c>
      <c r="F28" s="508">
        <v>522</v>
      </c>
    </row>
    <row r="29" spans="1:6" ht="13.5" thickBot="1">
      <c r="A29" s="361" t="s">
        <v>104</v>
      </c>
      <c r="B29" s="452">
        <f>B5+B7-B27-B28</f>
        <v>84483</v>
      </c>
      <c r="C29" s="452">
        <f>C5+C7-C27-C28</f>
        <v>84897</v>
      </c>
      <c r="D29" s="452">
        <f>D5+D7-D27-D28</f>
        <v>84883</v>
      </c>
      <c r="E29" s="452">
        <f>E5+E7-E27-E28</f>
        <v>78023.6</v>
      </c>
      <c r="F29" s="509">
        <f>F5+F7-F27-F28</f>
        <v>83097</v>
      </c>
    </row>
    <row r="30" ht="12.75">
      <c r="A30" s="127" t="s">
        <v>71</v>
      </c>
    </row>
    <row r="31" ht="12.75">
      <c r="A31" s="127" t="s">
        <v>226</v>
      </c>
    </row>
    <row r="32" ht="12.75">
      <c r="A32" s="127" t="s">
        <v>225</v>
      </c>
    </row>
  </sheetData>
  <sheetProtection/>
  <mergeCells count="1">
    <mergeCell ref="B3:F3"/>
  </mergeCells>
  <printOptions horizontalCentered="1"/>
  <pageMargins left="0.7874015748031497" right="0.7874015748031497" top="0.984251968503937" bottom="0.984251968503937" header="0.5" footer="0.5"/>
  <pageSetup fitToHeight="1" fitToWidth="1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1">
    <pageSetUpPr fitToPage="1"/>
  </sheetPr>
  <dimension ref="A1:R17"/>
  <sheetViews>
    <sheetView showGridLines="0" zoomScale="95" zoomScaleNormal="95" zoomScalePageLayoutView="0" workbookViewId="0" topLeftCell="A1">
      <selection activeCell="C4" sqref="C4"/>
    </sheetView>
  </sheetViews>
  <sheetFormatPr defaultColWidth="10.28125" defaultRowHeight="12.75"/>
  <cols>
    <col min="1" max="1" width="6.421875" style="294" customWidth="1"/>
    <col min="2" max="2" width="5.57421875" style="294" customWidth="1"/>
    <col min="3" max="10" width="9.8515625" style="294" customWidth="1"/>
    <col min="11" max="14" width="8.7109375" style="294" customWidth="1"/>
    <col min="15" max="15" width="7.57421875" style="294" customWidth="1"/>
    <col min="16" max="17" width="6.421875" style="294" customWidth="1"/>
    <col min="18" max="16384" width="10.28125" style="294" customWidth="1"/>
  </cols>
  <sheetData>
    <row r="1" spans="1:15" ht="12.75">
      <c r="A1" s="115" t="s">
        <v>232</v>
      </c>
      <c r="B1" s="115"/>
      <c r="C1" s="115"/>
      <c r="D1" s="116"/>
      <c r="E1" s="116"/>
      <c r="F1" s="116"/>
      <c r="G1" s="116"/>
      <c r="H1" s="116"/>
      <c r="I1" s="116"/>
      <c r="J1" s="116"/>
      <c r="K1" s="117"/>
      <c r="L1" s="117"/>
      <c r="M1" s="117"/>
      <c r="N1" s="117"/>
      <c r="O1" s="117"/>
    </row>
    <row r="2" spans="1:10" ht="12.75">
      <c r="A2" s="115" t="s">
        <v>15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8" ht="13.5" thickBot="1">
      <c r="A3" s="118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9"/>
      <c r="M3" s="117"/>
      <c r="N3" s="117"/>
      <c r="O3" s="117"/>
      <c r="P3" s="119"/>
      <c r="Q3" s="117"/>
      <c r="R3" s="117"/>
    </row>
    <row r="4" spans="1:18" ht="16.5" customHeight="1" thickTop="1">
      <c r="A4" s="46" t="s">
        <v>105</v>
      </c>
      <c r="B4" s="47"/>
      <c r="C4" s="48" t="s">
        <v>106</v>
      </c>
      <c r="D4" s="49"/>
      <c r="E4" s="50" t="s">
        <v>107</v>
      </c>
      <c r="F4" s="295"/>
      <c r="G4" s="50" t="s">
        <v>108</v>
      </c>
      <c r="H4" s="49"/>
      <c r="I4" s="51" t="s">
        <v>109</v>
      </c>
      <c r="J4" s="52"/>
      <c r="K4" s="120"/>
      <c r="O4" s="121"/>
      <c r="R4" s="117"/>
    </row>
    <row r="5" spans="1:14" ht="18" customHeight="1">
      <c r="A5" s="296"/>
      <c r="B5" s="297"/>
      <c r="C5" s="578">
        <v>2009</v>
      </c>
      <c r="D5" s="578">
        <v>2010</v>
      </c>
      <c r="E5" s="578">
        <v>2009</v>
      </c>
      <c r="F5" s="578">
        <v>2010</v>
      </c>
      <c r="G5" s="578">
        <v>2009</v>
      </c>
      <c r="H5" s="578">
        <v>2010</v>
      </c>
      <c r="I5" s="578">
        <v>2009</v>
      </c>
      <c r="J5" s="579">
        <v>2010</v>
      </c>
      <c r="K5" s="122"/>
      <c r="N5" s="117"/>
    </row>
    <row r="6" spans="1:14" ht="4.5" customHeight="1">
      <c r="A6" s="53"/>
      <c r="B6" s="54"/>
      <c r="C6" s="510"/>
      <c r="D6" s="510"/>
      <c r="E6" s="511"/>
      <c r="F6" s="511"/>
      <c r="G6" s="511"/>
      <c r="H6" s="511"/>
      <c r="I6" s="510"/>
      <c r="J6" s="512"/>
      <c r="K6" s="122"/>
      <c r="N6" s="117"/>
    </row>
    <row r="7" spans="1:14" ht="12.75">
      <c r="A7" s="55" t="s">
        <v>19</v>
      </c>
      <c r="B7" s="54"/>
      <c r="C7" s="513">
        <v>144</v>
      </c>
      <c r="D7" s="513">
        <v>127</v>
      </c>
      <c r="E7" s="514">
        <v>2332</v>
      </c>
      <c r="F7" s="514">
        <v>2335</v>
      </c>
      <c r="G7" s="514">
        <v>7</v>
      </c>
      <c r="H7" s="514">
        <v>6</v>
      </c>
      <c r="I7" s="513">
        <v>2483</v>
      </c>
      <c r="J7" s="515">
        <v>2468</v>
      </c>
      <c r="K7" s="217"/>
      <c r="L7" s="298"/>
      <c r="N7" s="117"/>
    </row>
    <row r="8" spans="1:14" ht="12.75">
      <c r="A8" s="56" t="s">
        <v>24</v>
      </c>
      <c r="B8" s="54"/>
      <c r="C8" s="513">
        <v>2345</v>
      </c>
      <c r="D8" s="513">
        <v>3221</v>
      </c>
      <c r="E8" s="514">
        <v>2615</v>
      </c>
      <c r="F8" s="514">
        <v>2270</v>
      </c>
      <c r="G8" s="577" t="s">
        <v>252</v>
      </c>
      <c r="H8" s="577" t="s">
        <v>252</v>
      </c>
      <c r="I8" s="513">
        <v>4960</v>
      </c>
      <c r="J8" s="515">
        <v>5491</v>
      </c>
      <c r="K8" s="217"/>
      <c r="L8" s="298"/>
      <c r="N8" s="117"/>
    </row>
    <row r="9" spans="1:14" ht="12.75">
      <c r="A9" s="56" t="s">
        <v>28</v>
      </c>
      <c r="B9" s="299"/>
      <c r="C9" s="577" t="s">
        <v>252</v>
      </c>
      <c r="D9" s="577" t="s">
        <v>252</v>
      </c>
      <c r="E9" s="514">
        <v>6555</v>
      </c>
      <c r="F9" s="514">
        <v>7027</v>
      </c>
      <c r="G9" s="577" t="s">
        <v>252</v>
      </c>
      <c r="H9" s="577" t="s">
        <v>252</v>
      </c>
      <c r="I9" s="513">
        <v>6555</v>
      </c>
      <c r="J9" s="515">
        <v>7027</v>
      </c>
      <c r="K9" s="217"/>
      <c r="L9" s="298"/>
      <c r="N9" s="117"/>
    </row>
    <row r="10" spans="1:14" ht="12.75">
      <c r="A10" s="56" t="s">
        <v>31</v>
      </c>
      <c r="B10" s="54"/>
      <c r="C10" s="577" t="s">
        <v>252</v>
      </c>
      <c r="D10" s="577" t="s">
        <v>252</v>
      </c>
      <c r="E10" s="514">
        <v>4054</v>
      </c>
      <c r="F10" s="514">
        <v>3919</v>
      </c>
      <c r="G10" s="577" t="s">
        <v>252</v>
      </c>
      <c r="H10" s="577" t="s">
        <v>252</v>
      </c>
      <c r="I10" s="513">
        <v>4054</v>
      </c>
      <c r="J10" s="515">
        <v>3919</v>
      </c>
      <c r="K10" s="217"/>
      <c r="L10" s="298"/>
      <c r="N10" s="117"/>
    </row>
    <row r="11" spans="1:14" ht="12.75">
      <c r="A11" s="56" t="s">
        <v>87</v>
      </c>
      <c r="B11" s="54"/>
      <c r="C11" s="513">
        <v>733</v>
      </c>
      <c r="D11" s="513">
        <v>1896</v>
      </c>
      <c r="E11" s="514">
        <v>306</v>
      </c>
      <c r="F11" s="514">
        <v>598</v>
      </c>
      <c r="G11" s="577" t="s">
        <v>252</v>
      </c>
      <c r="H11" s="577" t="s">
        <v>252</v>
      </c>
      <c r="I11" s="513">
        <v>1039</v>
      </c>
      <c r="J11" s="515">
        <v>2494</v>
      </c>
      <c r="K11" s="217"/>
      <c r="L11" s="298"/>
      <c r="N11" s="117"/>
    </row>
    <row r="12" spans="1:14" ht="12.75">
      <c r="A12" s="56" t="s">
        <v>174</v>
      </c>
      <c r="B12" s="54"/>
      <c r="C12" s="513">
        <v>26</v>
      </c>
      <c r="D12" s="513">
        <v>17</v>
      </c>
      <c r="E12" s="514">
        <v>328</v>
      </c>
      <c r="F12" s="514">
        <v>716</v>
      </c>
      <c r="G12" s="577" t="s">
        <v>252</v>
      </c>
      <c r="H12" s="577" t="s">
        <v>252</v>
      </c>
      <c r="I12" s="513">
        <v>354</v>
      </c>
      <c r="J12" s="515">
        <v>733</v>
      </c>
      <c r="K12" s="217"/>
      <c r="L12" s="298"/>
      <c r="N12" s="117"/>
    </row>
    <row r="13" spans="1:14" ht="18.75" customHeight="1" thickBot="1">
      <c r="A13" s="57" t="s">
        <v>110</v>
      </c>
      <c r="B13" s="58"/>
      <c r="C13" s="516">
        <v>3248</v>
      </c>
      <c r="D13" s="516">
        <v>5261</v>
      </c>
      <c r="E13" s="516">
        <v>16190</v>
      </c>
      <c r="F13" s="516">
        <v>16865</v>
      </c>
      <c r="G13" s="516">
        <v>7</v>
      </c>
      <c r="H13" s="516">
        <v>6</v>
      </c>
      <c r="I13" s="516">
        <v>19445</v>
      </c>
      <c r="J13" s="517">
        <v>22132</v>
      </c>
      <c r="K13" s="217"/>
      <c r="L13" s="298"/>
      <c r="N13" s="117"/>
    </row>
    <row r="14" spans="1:18" ht="13.5" thickTop="1">
      <c r="A14" s="123"/>
      <c r="B14" s="117"/>
      <c r="C14" s="217"/>
      <c r="D14" s="217"/>
      <c r="E14" s="217"/>
      <c r="F14" s="217"/>
      <c r="G14" s="217"/>
      <c r="H14" s="217"/>
      <c r="I14" s="124"/>
      <c r="J14" s="125"/>
      <c r="K14" s="3"/>
      <c r="L14" s="3"/>
      <c r="M14" s="3"/>
      <c r="N14" s="3"/>
      <c r="O14" s="3"/>
      <c r="P14" s="3"/>
      <c r="Q14" s="3"/>
      <c r="R14" s="117"/>
    </row>
    <row r="15" spans="2:18" ht="12.75">
      <c r="B15" s="117"/>
      <c r="C15" s="3"/>
      <c r="D15" s="217"/>
      <c r="E15" s="257"/>
      <c r="F15" s="217"/>
      <c r="G15" s="217"/>
      <c r="H15" s="217"/>
      <c r="I15" s="217"/>
      <c r="J15" s="217"/>
      <c r="K15" s="3"/>
      <c r="L15" s="3"/>
      <c r="M15" s="3"/>
      <c r="N15" s="3"/>
      <c r="O15" s="3"/>
      <c r="P15" s="3"/>
      <c r="Q15" s="3"/>
      <c r="R15" s="117"/>
    </row>
    <row r="17" ht="12">
      <c r="G17" s="360"/>
    </row>
  </sheetData>
  <sheetProtection/>
  <printOptions horizontalCentered="1"/>
  <pageMargins left="0.3937007874015748" right="0.3937007874015748" top="0.7874015748031497" bottom="0.7874015748031497" header="0.5" footer="0.5"/>
  <pageSetup fitToHeight="1" fitToWidth="1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2">
    <pageSetUpPr fitToPage="1"/>
  </sheetPr>
  <dimension ref="A1:K26"/>
  <sheetViews>
    <sheetView showGridLines="0" zoomScalePageLayoutView="0" workbookViewId="0" topLeftCell="A1">
      <selection activeCell="C4" sqref="C4"/>
    </sheetView>
  </sheetViews>
  <sheetFormatPr defaultColWidth="10.28125" defaultRowHeight="12.75"/>
  <cols>
    <col min="1" max="1" width="7.28125" style="290" customWidth="1"/>
    <col min="2" max="2" width="10.28125" style="290" customWidth="1"/>
    <col min="3" max="3" width="11.8515625" style="290" customWidth="1"/>
    <col min="4" max="8" width="10.421875" style="290" customWidth="1"/>
    <col min="9" max="10" width="10.28125" style="290" customWidth="1"/>
    <col min="11" max="11" width="14.140625" style="290" customWidth="1"/>
    <col min="12" max="16" width="10.28125" style="290" customWidth="1"/>
    <col min="17" max="17" width="14.140625" style="290" customWidth="1"/>
    <col min="18" max="16384" width="10.28125" style="290" customWidth="1"/>
  </cols>
  <sheetData>
    <row r="1" spans="1:8" ht="12.75">
      <c r="A1" s="94" t="s">
        <v>233</v>
      </c>
      <c r="B1" s="95"/>
      <c r="C1" s="95"/>
      <c r="D1" s="95"/>
      <c r="E1" s="95"/>
      <c r="F1" s="289"/>
      <c r="G1" s="95"/>
      <c r="H1" s="289"/>
    </row>
    <row r="2" spans="1:8" ht="12.75" customHeight="1" thickBot="1">
      <c r="A2" s="94" t="s">
        <v>111</v>
      </c>
      <c r="B2" s="95"/>
      <c r="C2" s="289"/>
      <c r="D2" s="289"/>
      <c r="E2" s="289"/>
      <c r="F2" s="289"/>
      <c r="G2" s="289"/>
      <c r="H2" s="289"/>
    </row>
    <row r="3" spans="1:9" s="291" customFormat="1" ht="16.5" customHeight="1" thickTop="1">
      <c r="A3" s="96" t="s">
        <v>112</v>
      </c>
      <c r="B3" s="97"/>
      <c r="C3" s="98"/>
      <c r="D3" s="132">
        <v>2005</v>
      </c>
      <c r="E3" s="132">
        <v>2006</v>
      </c>
      <c r="F3" s="132">
        <v>2007</v>
      </c>
      <c r="G3" s="132">
        <v>2008</v>
      </c>
      <c r="H3" s="132">
        <v>2009</v>
      </c>
      <c r="I3" s="332">
        <v>2010</v>
      </c>
    </row>
    <row r="4" spans="1:9" ht="12.75">
      <c r="A4" s="99"/>
      <c r="B4" s="100"/>
      <c r="C4" s="100"/>
      <c r="D4" s="101"/>
      <c r="E4" s="101"/>
      <c r="F4" s="101"/>
      <c r="G4" s="101"/>
      <c r="H4" s="101"/>
      <c r="I4" s="518"/>
    </row>
    <row r="5" spans="1:9" ht="12.75">
      <c r="A5" s="102" t="s">
        <v>113</v>
      </c>
      <c r="B5" s="100"/>
      <c r="C5" s="100"/>
      <c r="D5" s="103">
        <v>13517</v>
      </c>
      <c r="E5" s="103">
        <v>12673</v>
      </c>
      <c r="F5" s="103">
        <v>11892</v>
      </c>
      <c r="G5" s="103">
        <v>11044</v>
      </c>
      <c r="H5" s="103">
        <v>10608</v>
      </c>
      <c r="I5" s="519">
        <v>9989</v>
      </c>
    </row>
    <row r="6" spans="1:9" ht="12.75">
      <c r="A6" s="102" t="s">
        <v>114</v>
      </c>
      <c r="B6" s="100"/>
      <c r="C6" s="100"/>
      <c r="D6" s="103">
        <v>13235</v>
      </c>
      <c r="E6" s="103">
        <v>12432</v>
      </c>
      <c r="F6" s="103">
        <v>11712</v>
      </c>
      <c r="G6" s="103">
        <v>10918</v>
      </c>
      <c r="H6" s="103">
        <v>10513</v>
      </c>
      <c r="I6" s="519">
        <v>9886</v>
      </c>
    </row>
    <row r="7" spans="1:9" ht="12.75">
      <c r="A7" s="102" t="s">
        <v>115</v>
      </c>
      <c r="B7" s="100"/>
      <c r="C7" s="100"/>
      <c r="D7" s="103">
        <v>23</v>
      </c>
      <c r="E7" s="103">
        <v>22</v>
      </c>
      <c r="F7" s="103">
        <v>12</v>
      </c>
      <c r="G7" s="103">
        <v>12</v>
      </c>
      <c r="H7" s="103">
        <v>10</v>
      </c>
      <c r="I7" s="519">
        <v>17</v>
      </c>
    </row>
    <row r="8" spans="1:9" ht="12.75">
      <c r="A8" s="102" t="s">
        <v>116</v>
      </c>
      <c r="B8" s="100"/>
      <c r="C8" s="100"/>
      <c r="D8" s="103">
        <v>29906</v>
      </c>
      <c r="E8" s="103">
        <v>30577</v>
      </c>
      <c r="F8" s="103">
        <v>30684</v>
      </c>
      <c r="G8" s="103">
        <f>SUM(G9:G12)</f>
        <v>30461</v>
      </c>
      <c r="H8" s="103">
        <f>SUM(H9:H12)</f>
        <v>29782</v>
      </c>
      <c r="I8" s="519">
        <f>SUM(I9:I12)</f>
        <v>29583</v>
      </c>
    </row>
    <row r="9" spans="1:9" ht="12.75">
      <c r="A9" s="102" t="s">
        <v>117</v>
      </c>
      <c r="B9" s="100"/>
      <c r="C9" s="100"/>
      <c r="D9" s="104">
        <v>24431</v>
      </c>
      <c r="E9" s="103">
        <v>25456</v>
      </c>
      <c r="F9" s="103">
        <v>26215</v>
      </c>
      <c r="G9" s="103">
        <v>26035</v>
      </c>
      <c r="H9" s="103">
        <v>25390</v>
      </c>
      <c r="I9" s="519">
        <v>25381</v>
      </c>
    </row>
    <row r="10" spans="1:9" ht="12.75">
      <c r="A10" s="105"/>
      <c r="B10" s="106" t="s">
        <v>118</v>
      </c>
      <c r="C10" s="106"/>
      <c r="D10" s="104">
        <v>2895</v>
      </c>
      <c r="E10" s="103">
        <v>2526</v>
      </c>
      <c r="F10" s="103">
        <v>2006</v>
      </c>
      <c r="G10" s="103">
        <f>2015+26</f>
        <v>2041</v>
      </c>
      <c r="H10" s="103">
        <v>1959</v>
      </c>
      <c r="I10" s="519">
        <v>1876</v>
      </c>
    </row>
    <row r="11" spans="1:9" ht="12.75">
      <c r="A11" s="105"/>
      <c r="B11" s="106" t="s">
        <v>119</v>
      </c>
      <c r="C11" s="106"/>
      <c r="D11" s="104">
        <v>2231</v>
      </c>
      <c r="E11" s="103">
        <v>2215</v>
      </c>
      <c r="F11" s="103">
        <v>2099</v>
      </c>
      <c r="G11" s="103">
        <v>2043</v>
      </c>
      <c r="H11" s="103">
        <v>2065</v>
      </c>
      <c r="I11" s="519">
        <v>1968</v>
      </c>
    </row>
    <row r="12" spans="1:11" ht="12.75">
      <c r="A12" s="105"/>
      <c r="B12" s="106" t="s">
        <v>120</v>
      </c>
      <c r="C12" s="106"/>
      <c r="D12" s="107">
        <v>349</v>
      </c>
      <c r="E12" s="107">
        <v>380</v>
      </c>
      <c r="F12" s="107">
        <v>364</v>
      </c>
      <c r="G12" s="107">
        <v>342</v>
      </c>
      <c r="H12" s="107">
        <v>368</v>
      </c>
      <c r="I12" s="520">
        <v>358</v>
      </c>
      <c r="J12" s="292"/>
      <c r="K12" s="292"/>
    </row>
    <row r="13" spans="1:9" ht="12.75">
      <c r="A13" s="102" t="s">
        <v>121</v>
      </c>
      <c r="B13" s="100"/>
      <c r="C13" s="100"/>
      <c r="D13" s="103">
        <v>8528</v>
      </c>
      <c r="E13" s="103">
        <v>8347</v>
      </c>
      <c r="F13" s="103">
        <v>5867</v>
      </c>
      <c r="G13" s="103">
        <f>5035+202</f>
        <v>5237</v>
      </c>
      <c r="H13" s="103">
        <v>4111</v>
      </c>
      <c r="I13" s="519">
        <v>2253</v>
      </c>
    </row>
    <row r="14" spans="1:9" ht="12.75">
      <c r="A14" s="102" t="s">
        <v>122</v>
      </c>
      <c r="B14" s="100"/>
      <c r="C14" s="100"/>
      <c r="D14" s="103">
        <v>3528</v>
      </c>
      <c r="E14" s="103">
        <v>3301</v>
      </c>
      <c r="F14" s="103">
        <v>3140</v>
      </c>
      <c r="G14" s="103">
        <v>3194</v>
      </c>
      <c r="H14" s="103">
        <v>3221</v>
      </c>
      <c r="I14" s="519">
        <v>3385</v>
      </c>
    </row>
    <row r="15" spans="1:9" ht="12.75">
      <c r="A15" s="102" t="s">
        <v>123</v>
      </c>
      <c r="B15" s="100"/>
      <c r="C15" s="100"/>
      <c r="D15" s="103">
        <v>3781</v>
      </c>
      <c r="E15" s="103">
        <v>3997</v>
      </c>
      <c r="F15" s="103">
        <v>4231</v>
      </c>
      <c r="G15" s="103">
        <v>4069</v>
      </c>
      <c r="H15" s="103">
        <v>3692</v>
      </c>
      <c r="I15" s="519">
        <v>3909</v>
      </c>
    </row>
    <row r="16" spans="1:9" ht="12.75">
      <c r="A16" s="102" t="s">
        <v>124</v>
      </c>
      <c r="B16" s="100"/>
      <c r="C16" s="100"/>
      <c r="D16" s="103">
        <v>2778</v>
      </c>
      <c r="E16" s="103">
        <v>2907</v>
      </c>
      <c r="F16" s="103">
        <v>2606</v>
      </c>
      <c r="G16" s="103">
        <v>2393</v>
      </c>
      <c r="H16" s="103">
        <v>2321</v>
      </c>
      <c r="I16" s="519">
        <v>2003</v>
      </c>
    </row>
    <row r="17" spans="1:9" ht="12.75">
      <c r="A17" s="102" t="s">
        <v>125</v>
      </c>
      <c r="B17" s="100"/>
      <c r="C17" s="100"/>
      <c r="D17" s="103">
        <v>555</v>
      </c>
      <c r="E17" s="103">
        <v>542</v>
      </c>
      <c r="F17" s="103">
        <v>537</v>
      </c>
      <c r="G17" s="103">
        <v>499</v>
      </c>
      <c r="H17" s="103">
        <v>398</v>
      </c>
      <c r="I17" s="519">
        <v>436</v>
      </c>
    </row>
    <row r="18" spans="1:9" ht="12.75">
      <c r="A18" s="102" t="s">
        <v>126</v>
      </c>
      <c r="B18" s="100"/>
      <c r="C18" s="100"/>
      <c r="D18" s="103">
        <v>4101</v>
      </c>
      <c r="E18" s="103">
        <v>4220</v>
      </c>
      <c r="F18" s="103">
        <v>4103</v>
      </c>
      <c r="G18" s="103">
        <v>3820</v>
      </c>
      <c r="H18" s="103">
        <v>3328</v>
      </c>
      <c r="I18" s="519">
        <v>3070</v>
      </c>
    </row>
    <row r="19" spans="1:9" ht="12.75">
      <c r="A19" s="102" t="s">
        <v>127</v>
      </c>
      <c r="B19" s="100"/>
      <c r="C19" s="100"/>
      <c r="D19" s="103">
        <v>3492</v>
      </c>
      <c r="E19" s="103">
        <v>3592</v>
      </c>
      <c r="F19" s="103">
        <v>3626</v>
      </c>
      <c r="G19" s="103">
        <v>3846</v>
      </c>
      <c r="H19" s="103">
        <v>3431</v>
      </c>
      <c r="I19" s="519">
        <v>3521</v>
      </c>
    </row>
    <row r="20" spans="1:9" ht="12.75">
      <c r="A20" s="102" t="s">
        <v>128</v>
      </c>
      <c r="B20" s="100"/>
      <c r="C20" s="100"/>
      <c r="D20" s="103">
        <v>6492</v>
      </c>
      <c r="E20" s="103">
        <v>6109</v>
      </c>
      <c r="F20" s="103">
        <v>6514</v>
      </c>
      <c r="G20" s="103">
        <v>5626</v>
      </c>
      <c r="H20" s="103">
        <v>5044</v>
      </c>
      <c r="I20" s="519">
        <v>5791</v>
      </c>
    </row>
    <row r="21" spans="1:9" ht="12.75">
      <c r="A21" s="102" t="s">
        <v>129</v>
      </c>
      <c r="B21" s="100"/>
      <c r="C21" s="100"/>
      <c r="D21" s="103">
        <v>9973</v>
      </c>
      <c r="E21" s="103">
        <v>10214</v>
      </c>
      <c r="F21" s="103">
        <v>10648</v>
      </c>
      <c r="G21" s="103">
        <v>10210</v>
      </c>
      <c r="H21" s="103">
        <v>9022</v>
      </c>
      <c r="I21" s="519">
        <v>9426</v>
      </c>
    </row>
    <row r="22" spans="1:9" ht="18.75" customHeight="1" thickBot="1">
      <c r="A22" s="108"/>
      <c r="B22" s="109" t="s">
        <v>130</v>
      </c>
      <c r="C22" s="109"/>
      <c r="D22" s="110">
        <v>86674</v>
      </c>
      <c r="E22" s="110">
        <v>86501</v>
      </c>
      <c r="F22" s="110">
        <f>SUM(F5+F7+F8+F13+F14+F15+F16+F17+F18+F19+F20+F21)</f>
        <v>83860</v>
      </c>
      <c r="G22" s="110">
        <f>SUM(G5+G7+G8+G13+G14+G15+G16+G17+G18+G19+G20+G21)</f>
        <v>80411</v>
      </c>
      <c r="H22" s="110">
        <f>SUM(H5+H7+H8+H13+H14+H15+H16+H17+H18+H19+H20+H21)</f>
        <v>74968</v>
      </c>
      <c r="I22" s="521">
        <f>SUM(I5+I7+I8+I13+I14+I15+I16+I17+I18+I19+I20+I21)</f>
        <v>73383</v>
      </c>
    </row>
    <row r="23" spans="1:8" ht="13.5" thickTop="1">
      <c r="A23" s="111"/>
      <c r="B23" s="112"/>
      <c r="C23" s="112"/>
      <c r="D23" s="112"/>
      <c r="E23" s="112"/>
      <c r="F23" s="113"/>
      <c r="G23" s="112"/>
      <c r="H23" s="114"/>
    </row>
    <row r="24" spans="2:9" ht="12.75">
      <c r="B24" s="112"/>
      <c r="C24" s="112"/>
      <c r="D24" s="112"/>
      <c r="F24" s="112"/>
      <c r="H24" s="114"/>
      <c r="I24" s="292"/>
    </row>
    <row r="25" ht="12">
      <c r="H25" s="292"/>
    </row>
    <row r="26" ht="12">
      <c r="A26" s="293"/>
    </row>
  </sheetData>
  <sheetProtection/>
  <printOptions horizontalCentered="1" verticalCentered="1"/>
  <pageMargins left="0.1968503937007874" right="0" top="0.984251968503937" bottom="0.984251968503937" header="0.5118110236220472" footer="0.5118110236220472"/>
  <pageSetup fitToHeight="1" fitToWidth="1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3"/>
  <dimension ref="A1:H18"/>
  <sheetViews>
    <sheetView showGridLines="0" zoomScalePageLayoutView="0" workbookViewId="0" topLeftCell="A1">
      <selection activeCell="C4" sqref="C4"/>
    </sheetView>
  </sheetViews>
  <sheetFormatPr defaultColWidth="10.28125" defaultRowHeight="12.75"/>
  <cols>
    <col min="1" max="1" width="10.28125" style="288" customWidth="1"/>
    <col min="2" max="2" width="7.8515625" style="288" customWidth="1"/>
    <col min="3" max="7" width="11.00390625" style="288" customWidth="1"/>
    <col min="8" max="16384" width="10.28125" style="288" customWidth="1"/>
  </cols>
  <sheetData>
    <row r="1" spans="1:7" ht="12.75">
      <c r="A1" s="80" t="s">
        <v>234</v>
      </c>
      <c r="B1" s="81"/>
      <c r="C1" s="80"/>
      <c r="D1" s="81"/>
      <c r="E1" s="81"/>
      <c r="F1" s="81"/>
      <c r="G1" s="81"/>
    </row>
    <row r="2" spans="1:7" ht="13.5" thickBot="1">
      <c r="A2" s="82"/>
      <c r="B2" s="83"/>
      <c r="C2" s="82"/>
      <c r="D2" s="83"/>
      <c r="E2" s="83"/>
      <c r="F2" s="83"/>
      <c r="G2" s="83"/>
    </row>
    <row r="3" spans="1:8" ht="16.5" customHeight="1" thickTop="1">
      <c r="A3" s="84" t="s">
        <v>131</v>
      </c>
      <c r="B3" s="85"/>
      <c r="C3" s="132">
        <v>2005</v>
      </c>
      <c r="D3" s="132">
        <v>2006</v>
      </c>
      <c r="E3" s="132">
        <v>2007</v>
      </c>
      <c r="F3" s="132">
        <v>2008</v>
      </c>
      <c r="G3" s="132">
        <v>2009</v>
      </c>
      <c r="H3" s="332">
        <v>2010</v>
      </c>
    </row>
    <row r="4" spans="1:8" ht="12.75">
      <c r="A4" s="86"/>
      <c r="B4" s="87"/>
      <c r="C4" s="88"/>
      <c r="D4" s="88"/>
      <c r="E4" s="88"/>
      <c r="F4" s="88"/>
      <c r="G4" s="88"/>
      <c r="H4" s="333"/>
    </row>
    <row r="5" spans="1:8" ht="12.75">
      <c r="A5" s="89" t="s">
        <v>132</v>
      </c>
      <c r="B5" s="87"/>
      <c r="C5" s="90">
        <v>37.06</v>
      </c>
      <c r="D5" s="90">
        <v>56.94</v>
      </c>
      <c r="E5" s="90">
        <v>50.97</v>
      </c>
      <c r="F5" s="90">
        <v>88.64</v>
      </c>
      <c r="G5" s="90">
        <v>40.29</v>
      </c>
      <c r="H5" s="334">
        <v>74.87</v>
      </c>
    </row>
    <row r="6" spans="1:8" ht="12.75">
      <c r="A6" s="89" t="s">
        <v>133</v>
      </c>
      <c r="B6" s="87"/>
      <c r="C6" s="90">
        <v>41.72</v>
      </c>
      <c r="D6" s="90">
        <v>57.02</v>
      </c>
      <c r="E6" s="90">
        <v>52.4</v>
      </c>
      <c r="F6" s="90">
        <v>91.26</v>
      </c>
      <c r="G6" s="90">
        <v>41.31</v>
      </c>
      <c r="H6" s="334">
        <v>73.81</v>
      </c>
    </row>
    <row r="7" spans="1:8" ht="12.75">
      <c r="A7" s="89" t="s">
        <v>134</v>
      </c>
      <c r="B7" s="87"/>
      <c r="C7" s="90">
        <v>48.06</v>
      </c>
      <c r="D7" s="90">
        <v>57.13</v>
      </c>
      <c r="E7" s="90">
        <v>57.13</v>
      </c>
      <c r="F7" s="90">
        <v>99.53</v>
      </c>
      <c r="G7" s="90">
        <v>44.67</v>
      </c>
      <c r="H7" s="334">
        <v>77.53</v>
      </c>
    </row>
    <row r="8" spans="1:8" ht="12.75">
      <c r="A8" s="89" t="s">
        <v>135</v>
      </c>
      <c r="B8" s="87"/>
      <c r="C8" s="90">
        <v>48.36</v>
      </c>
      <c r="D8" s="90">
        <v>64.05</v>
      </c>
      <c r="E8" s="90">
        <v>62.56</v>
      </c>
      <c r="F8" s="90">
        <v>106.4</v>
      </c>
      <c r="G8" s="90">
        <v>48.31</v>
      </c>
      <c r="H8" s="334">
        <v>81.59</v>
      </c>
    </row>
    <row r="9" spans="1:8" ht="12.75">
      <c r="A9" s="89" t="s">
        <v>136</v>
      </c>
      <c r="B9" s="87"/>
      <c r="C9" s="90">
        <v>44.85</v>
      </c>
      <c r="D9" s="90">
        <v>65.31</v>
      </c>
      <c r="E9" s="90">
        <v>64.3</v>
      </c>
      <c r="F9" s="90">
        <v>117.43</v>
      </c>
      <c r="G9" s="90">
        <v>53.29</v>
      </c>
      <c r="H9" s="334">
        <v>74.41</v>
      </c>
    </row>
    <row r="10" spans="1:8" ht="12.75">
      <c r="A10" s="89" t="s">
        <v>137</v>
      </c>
      <c r="B10" s="87"/>
      <c r="C10" s="90">
        <v>49.45</v>
      </c>
      <c r="D10" s="90">
        <v>63.63</v>
      </c>
      <c r="E10" s="90">
        <v>67.23</v>
      </c>
      <c r="F10" s="90">
        <v>127.47</v>
      </c>
      <c r="G10" s="90">
        <v>64.9</v>
      </c>
      <c r="H10" s="334">
        <v>72.48</v>
      </c>
    </row>
    <row r="11" spans="1:8" ht="12.75">
      <c r="A11" s="89" t="s">
        <v>138</v>
      </c>
      <c r="B11" s="87"/>
      <c r="C11" s="90">
        <v>53.22</v>
      </c>
      <c r="D11" s="90">
        <v>67.56</v>
      </c>
      <c r="E11" s="90">
        <v>72.64</v>
      </c>
      <c r="F11" s="90">
        <v>129.02</v>
      </c>
      <c r="G11" s="90">
        <v>64.18</v>
      </c>
      <c r="H11" s="334">
        <v>73.05</v>
      </c>
    </row>
    <row r="12" spans="1:8" ht="12.75">
      <c r="A12" s="89" t="s">
        <v>139</v>
      </c>
      <c r="B12" s="87"/>
      <c r="C12" s="90">
        <v>58.83</v>
      </c>
      <c r="D12" s="90">
        <v>69.42</v>
      </c>
      <c r="E12" s="90">
        <v>69.97</v>
      </c>
      <c r="F12" s="90">
        <v>111.28</v>
      </c>
      <c r="G12" s="90">
        <v>71.72</v>
      </c>
      <c r="H12" s="334">
        <v>75.98</v>
      </c>
    </row>
    <row r="13" spans="1:8" ht="12.75">
      <c r="A13" s="89" t="s">
        <v>140</v>
      </c>
      <c r="B13" s="87"/>
      <c r="C13" s="90">
        <v>59.65</v>
      </c>
      <c r="D13" s="90">
        <v>61.73</v>
      </c>
      <c r="E13" s="90">
        <v>72.89</v>
      </c>
      <c r="F13" s="90">
        <v>99.69</v>
      </c>
      <c r="G13" s="90">
        <v>68.08</v>
      </c>
      <c r="H13" s="334">
        <v>75.5</v>
      </c>
    </row>
    <row r="14" spans="1:8" ht="12.75">
      <c r="A14" s="89" t="s">
        <v>141</v>
      </c>
      <c r="B14" s="87"/>
      <c r="C14" s="90">
        <v>54.55</v>
      </c>
      <c r="D14" s="90">
        <v>55.38</v>
      </c>
      <c r="E14" s="90">
        <v>78.06</v>
      </c>
      <c r="F14" s="90">
        <v>73.53</v>
      </c>
      <c r="G14" s="90">
        <v>70.98</v>
      </c>
      <c r="H14" s="334">
        <v>81.67</v>
      </c>
    </row>
    <row r="15" spans="1:8" ht="12.75">
      <c r="A15" s="89" t="s">
        <v>142</v>
      </c>
      <c r="B15" s="87"/>
      <c r="C15" s="90">
        <v>52.08</v>
      </c>
      <c r="D15" s="90">
        <v>55.01</v>
      </c>
      <c r="E15" s="90">
        <v>87.89</v>
      </c>
      <c r="F15" s="90">
        <v>55.72</v>
      </c>
      <c r="G15" s="90">
        <v>75.54</v>
      </c>
      <c r="H15" s="334">
        <v>83.18</v>
      </c>
    </row>
    <row r="16" spans="1:8" ht="12.75">
      <c r="A16" s="89" t="s">
        <v>143</v>
      </c>
      <c r="B16" s="87"/>
      <c r="C16" s="90">
        <v>51.88</v>
      </c>
      <c r="D16" s="90">
        <v>58.62</v>
      </c>
      <c r="E16" s="90">
        <v>89.67</v>
      </c>
      <c r="F16" s="90">
        <v>40.83</v>
      </c>
      <c r="G16" s="90">
        <v>74.58</v>
      </c>
      <c r="H16" s="334">
        <v>89.02</v>
      </c>
    </row>
    <row r="17" spans="1:8" ht="18.75" customHeight="1" thickBot="1">
      <c r="A17" s="91" t="s">
        <v>144</v>
      </c>
      <c r="B17" s="92"/>
      <c r="C17" s="580">
        <v>50.19</v>
      </c>
      <c r="D17" s="580">
        <v>60.85</v>
      </c>
      <c r="E17" s="580">
        <v>68.8</v>
      </c>
      <c r="F17" s="580">
        <v>95.24</v>
      </c>
      <c r="G17" s="580">
        <v>59.87</v>
      </c>
      <c r="H17" s="522">
        <v>77.93</v>
      </c>
    </row>
    <row r="18" spans="1:7" ht="13.5" thickTop="1">
      <c r="A18" s="93"/>
      <c r="B18" s="83"/>
      <c r="C18" s="83"/>
      <c r="D18" s="83"/>
      <c r="E18" s="83"/>
      <c r="F18" s="83"/>
      <c r="G18" s="83"/>
    </row>
    <row r="20" ht="21" customHeight="1"/>
  </sheetData>
  <sheetProtection/>
  <printOptions horizontalCentered="1" verticalCentered="1"/>
  <pageMargins left="0.1968503937007874" right="0.1968503937007874" top="0.984251968503937" bottom="0.984251968503937" header="0.5118110236220472" footer="0.511811023622047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5">
    <pageSetUpPr fitToPage="1"/>
  </sheetPr>
  <dimension ref="A1:M47"/>
  <sheetViews>
    <sheetView showGridLines="0" zoomScale="92" zoomScaleNormal="92" zoomScalePageLayoutView="0" workbookViewId="0" topLeftCell="A1">
      <selection activeCell="C4" sqref="C4"/>
    </sheetView>
  </sheetViews>
  <sheetFormatPr defaultColWidth="9.140625" defaultRowHeight="12.75"/>
  <cols>
    <col min="1" max="1" width="13.28125" style="280" customWidth="1"/>
    <col min="2" max="2" width="7.7109375" style="280" customWidth="1"/>
    <col min="3" max="3" width="9.7109375" style="280" customWidth="1"/>
    <col min="4" max="4" width="10.28125" style="280" customWidth="1"/>
    <col min="5" max="6" width="9.7109375" style="280" customWidth="1"/>
    <col min="7" max="8" width="7.7109375" style="280" customWidth="1"/>
    <col min="9" max="9" width="8.421875" style="280" customWidth="1"/>
    <col min="10" max="11" width="7.7109375" style="280" customWidth="1"/>
    <col min="12" max="12" width="8.421875" style="280" customWidth="1"/>
    <col min="13" max="13" width="7.7109375" style="280" customWidth="1"/>
    <col min="14" max="16384" width="9.140625" style="280" customWidth="1"/>
  </cols>
  <sheetData>
    <row r="1" spans="1:13" ht="12.75">
      <c r="A1" s="60" t="s">
        <v>235</v>
      </c>
      <c r="B1" s="60"/>
      <c r="C1" s="60"/>
      <c r="D1" s="60"/>
      <c r="E1" s="60"/>
      <c r="F1" s="60"/>
      <c r="G1" s="60"/>
      <c r="H1" s="60"/>
      <c r="I1" s="60"/>
      <c r="J1" s="281"/>
      <c r="K1" s="281"/>
      <c r="L1" s="281"/>
      <c r="M1" s="281"/>
    </row>
    <row r="2" spans="1:13" ht="13.5" thickBot="1">
      <c r="A2" s="597" t="s">
        <v>171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</row>
    <row r="3" spans="1:13" ht="12.75">
      <c r="A3" s="66" t="s">
        <v>145</v>
      </c>
      <c r="B3" s="67" t="s">
        <v>241</v>
      </c>
      <c r="C3" s="68"/>
      <c r="D3" s="69"/>
      <c r="E3" s="68" t="s">
        <v>146</v>
      </c>
      <c r="F3" s="68"/>
      <c r="G3" s="69"/>
      <c r="H3" s="68" t="s">
        <v>147</v>
      </c>
      <c r="I3" s="68"/>
      <c r="J3" s="69"/>
      <c r="K3" s="68" t="s">
        <v>175</v>
      </c>
      <c r="L3" s="68"/>
      <c r="M3" s="69"/>
    </row>
    <row r="4" spans="1:13" ht="27" customHeight="1" thickBot="1">
      <c r="A4" s="70"/>
      <c r="B4" s="71" t="s">
        <v>148</v>
      </c>
      <c r="C4" s="72" t="s">
        <v>149</v>
      </c>
      <c r="D4" s="73" t="s">
        <v>150</v>
      </c>
      <c r="E4" s="71" t="s">
        <v>148</v>
      </c>
      <c r="F4" s="72" t="s">
        <v>149</v>
      </c>
      <c r="G4" s="73" t="s">
        <v>150</v>
      </c>
      <c r="H4" s="71" t="s">
        <v>148</v>
      </c>
      <c r="I4" s="72" t="s">
        <v>149</v>
      </c>
      <c r="J4" s="73" t="s">
        <v>150</v>
      </c>
      <c r="K4" s="71" t="s">
        <v>148</v>
      </c>
      <c r="L4" s="72" t="s">
        <v>149</v>
      </c>
      <c r="M4" s="73" t="s">
        <v>150</v>
      </c>
    </row>
    <row r="5" spans="1:13" ht="13.5" thickTop="1">
      <c r="A5" s="74">
        <v>2008</v>
      </c>
      <c r="B5" s="75"/>
      <c r="C5" s="76"/>
      <c r="D5" s="76"/>
      <c r="E5" s="75"/>
      <c r="F5" s="76"/>
      <c r="G5" s="76"/>
      <c r="H5" s="75"/>
      <c r="I5" s="76"/>
      <c r="J5" s="76"/>
      <c r="K5" s="75"/>
      <c r="L5" s="76"/>
      <c r="M5" s="77"/>
    </row>
    <row r="6" spans="1:13" ht="12.75">
      <c r="A6" s="78" t="s">
        <v>132</v>
      </c>
      <c r="B6" s="223">
        <v>573.03</v>
      </c>
      <c r="C6" s="224">
        <v>791.41</v>
      </c>
      <c r="D6" s="224">
        <v>1364.44</v>
      </c>
      <c r="E6" s="223">
        <v>641.78</v>
      </c>
      <c r="F6" s="224">
        <v>635.96</v>
      </c>
      <c r="G6" s="224">
        <v>1277.74</v>
      </c>
      <c r="H6" s="223">
        <v>609.21</v>
      </c>
      <c r="I6" s="224">
        <v>605.69</v>
      </c>
      <c r="J6" s="224">
        <v>1214.9</v>
      </c>
      <c r="K6" s="223">
        <v>394.64</v>
      </c>
      <c r="L6" s="224">
        <v>31.39</v>
      </c>
      <c r="M6" s="225">
        <v>426.03</v>
      </c>
    </row>
    <row r="7" spans="1:13" ht="12.75">
      <c r="A7" s="78" t="s">
        <v>133</v>
      </c>
      <c r="B7" s="223">
        <v>570.67</v>
      </c>
      <c r="C7" s="224">
        <v>790.93</v>
      </c>
      <c r="D7" s="224">
        <v>1361.6</v>
      </c>
      <c r="E7" s="223">
        <v>636.91</v>
      </c>
      <c r="F7" s="224">
        <v>634.98</v>
      </c>
      <c r="G7" s="224">
        <v>1271.89</v>
      </c>
      <c r="H7" s="223">
        <v>613.26</v>
      </c>
      <c r="I7" s="224">
        <v>606.51</v>
      </c>
      <c r="J7" s="224">
        <v>1219.77</v>
      </c>
      <c r="K7" s="223">
        <v>377.83</v>
      </c>
      <c r="L7" s="224">
        <v>31.39</v>
      </c>
      <c r="M7" s="225">
        <v>409.22</v>
      </c>
    </row>
    <row r="8" spans="1:13" ht="12.75">
      <c r="A8" s="78" t="s">
        <v>134</v>
      </c>
      <c r="B8" s="223">
        <v>591.68</v>
      </c>
      <c r="C8" s="224">
        <v>794.48</v>
      </c>
      <c r="D8" s="224">
        <v>1386.16</v>
      </c>
      <c r="E8" s="223">
        <v>687.78</v>
      </c>
      <c r="F8" s="224">
        <v>644.5</v>
      </c>
      <c r="G8" s="224">
        <v>1332.28</v>
      </c>
      <c r="H8" s="223">
        <v>665.8</v>
      </c>
      <c r="I8" s="224">
        <v>617.01</v>
      </c>
      <c r="J8" s="224">
        <v>1282.81</v>
      </c>
      <c r="K8" s="223">
        <v>387.52</v>
      </c>
      <c r="L8" s="224">
        <v>31.39</v>
      </c>
      <c r="M8" s="225">
        <v>418.91</v>
      </c>
    </row>
    <row r="9" spans="1:13" ht="12.75">
      <c r="A9" s="78" t="s">
        <v>135</v>
      </c>
      <c r="B9" s="223">
        <v>598.48</v>
      </c>
      <c r="C9" s="224">
        <v>776.31</v>
      </c>
      <c r="D9" s="224">
        <v>1374.79</v>
      </c>
      <c r="E9" s="223">
        <v>715.08</v>
      </c>
      <c r="F9" s="224">
        <v>630.42</v>
      </c>
      <c r="G9" s="224">
        <v>1345.5</v>
      </c>
      <c r="H9" s="223">
        <v>677.79</v>
      </c>
      <c r="I9" s="224">
        <v>619.41</v>
      </c>
      <c r="J9" s="224">
        <v>1297.2</v>
      </c>
      <c r="K9" s="223">
        <v>397.4</v>
      </c>
      <c r="L9" s="224">
        <v>31.39</v>
      </c>
      <c r="M9" s="225">
        <v>428.79</v>
      </c>
    </row>
    <row r="10" spans="1:13" ht="12.75">
      <c r="A10" s="78" t="s">
        <v>136</v>
      </c>
      <c r="B10" s="223">
        <v>650.88</v>
      </c>
      <c r="C10" s="224">
        <v>804.37</v>
      </c>
      <c r="D10" s="224">
        <v>1455.25</v>
      </c>
      <c r="E10" s="223">
        <v>781.8</v>
      </c>
      <c r="F10" s="224">
        <v>661.36</v>
      </c>
      <c r="G10" s="224">
        <v>1443.16</v>
      </c>
      <c r="H10" s="223">
        <v>762.45</v>
      </c>
      <c r="I10" s="224">
        <v>636.35</v>
      </c>
      <c r="J10" s="224">
        <v>1398.8</v>
      </c>
      <c r="K10" s="223">
        <v>433.57</v>
      </c>
      <c r="L10" s="224">
        <v>31.39</v>
      </c>
      <c r="M10" s="225">
        <v>464.96</v>
      </c>
    </row>
    <row r="11" spans="1:13" ht="12.75">
      <c r="A11" s="78" t="s">
        <v>137</v>
      </c>
      <c r="B11" s="223">
        <v>696.11</v>
      </c>
      <c r="C11" s="224">
        <v>816.02</v>
      </c>
      <c r="D11" s="224">
        <v>1512.13</v>
      </c>
      <c r="E11" s="223">
        <v>833.04</v>
      </c>
      <c r="F11" s="224">
        <v>674.21</v>
      </c>
      <c r="G11" s="224">
        <v>1507.25</v>
      </c>
      <c r="H11" s="223">
        <v>808.86</v>
      </c>
      <c r="I11" s="224">
        <v>645.62</v>
      </c>
      <c r="J11" s="224">
        <v>1454.48</v>
      </c>
      <c r="K11" s="223">
        <v>477.36</v>
      </c>
      <c r="L11" s="224">
        <v>31.39</v>
      </c>
      <c r="M11" s="225">
        <v>508.75</v>
      </c>
    </row>
    <row r="12" spans="1:13" ht="12.75">
      <c r="A12" s="78" t="s">
        <v>138</v>
      </c>
      <c r="B12" s="223">
        <v>704.87</v>
      </c>
      <c r="C12" s="224">
        <v>817.77</v>
      </c>
      <c r="D12" s="224">
        <v>1522.64</v>
      </c>
      <c r="E12" s="223">
        <v>842.11</v>
      </c>
      <c r="F12" s="224">
        <v>676.03</v>
      </c>
      <c r="G12" s="224">
        <v>1518.14</v>
      </c>
      <c r="H12" s="223">
        <v>820.45</v>
      </c>
      <c r="I12" s="224">
        <v>647.94</v>
      </c>
      <c r="J12" s="224">
        <v>1468.39</v>
      </c>
      <c r="K12" s="223">
        <v>527.86</v>
      </c>
      <c r="L12" s="224">
        <v>31.39</v>
      </c>
      <c r="M12" s="225">
        <v>559.25</v>
      </c>
    </row>
    <row r="13" spans="1:13" ht="12.75">
      <c r="A13" s="78" t="s">
        <v>139</v>
      </c>
      <c r="B13" s="223">
        <v>651.21</v>
      </c>
      <c r="C13" s="224">
        <v>807.04</v>
      </c>
      <c r="D13" s="224">
        <v>1458.25</v>
      </c>
      <c r="E13" s="223">
        <v>774.4</v>
      </c>
      <c r="F13" s="224">
        <v>662.48</v>
      </c>
      <c r="G13" s="224">
        <v>1436.88</v>
      </c>
      <c r="H13" s="223">
        <v>749.83</v>
      </c>
      <c r="I13" s="224">
        <v>633.82</v>
      </c>
      <c r="J13" s="224">
        <v>1383.65</v>
      </c>
      <c r="K13" s="223">
        <v>490.1</v>
      </c>
      <c r="L13" s="224">
        <v>31.39</v>
      </c>
      <c r="M13" s="225">
        <v>521.49</v>
      </c>
    </row>
    <row r="14" spans="1:13" ht="12.75">
      <c r="A14" s="78" t="s">
        <v>140</v>
      </c>
      <c r="B14" s="223">
        <v>632.54</v>
      </c>
      <c r="C14" s="224">
        <v>803.31</v>
      </c>
      <c r="D14" s="224">
        <v>1435.85</v>
      </c>
      <c r="E14" s="223">
        <v>730.23</v>
      </c>
      <c r="F14" s="224">
        <v>653.64</v>
      </c>
      <c r="G14" s="224">
        <v>1383.87</v>
      </c>
      <c r="H14" s="223">
        <v>719.04</v>
      </c>
      <c r="I14" s="224">
        <v>627.66</v>
      </c>
      <c r="J14" s="224">
        <v>1346.7</v>
      </c>
      <c r="K14" s="223">
        <v>453.62</v>
      </c>
      <c r="L14" s="224">
        <v>31.39</v>
      </c>
      <c r="M14" s="225">
        <v>485.01</v>
      </c>
    </row>
    <row r="15" spans="1:13" ht="12.75">
      <c r="A15" s="78" t="s">
        <v>141</v>
      </c>
      <c r="B15" s="223">
        <v>557.96</v>
      </c>
      <c r="C15" s="224">
        <v>788.39</v>
      </c>
      <c r="D15" s="224">
        <v>1346.35</v>
      </c>
      <c r="E15" s="223">
        <v>661.57</v>
      </c>
      <c r="F15" s="224">
        <v>639.91</v>
      </c>
      <c r="G15" s="224">
        <v>1301.48</v>
      </c>
      <c r="H15" s="223">
        <v>655.83</v>
      </c>
      <c r="I15" s="224">
        <v>615.02</v>
      </c>
      <c r="J15" s="224">
        <v>1270.85</v>
      </c>
      <c r="K15" s="223">
        <v>394.44</v>
      </c>
      <c r="L15" s="224">
        <v>31.39</v>
      </c>
      <c r="M15" s="225">
        <v>425.83</v>
      </c>
    </row>
    <row r="16" spans="1:13" ht="12.75">
      <c r="A16" s="78" t="s">
        <v>142</v>
      </c>
      <c r="B16" s="223">
        <v>445.93</v>
      </c>
      <c r="C16" s="224">
        <v>765.99</v>
      </c>
      <c r="D16" s="224">
        <v>1211.92</v>
      </c>
      <c r="E16" s="223">
        <v>572.69</v>
      </c>
      <c r="F16" s="224">
        <v>622.13</v>
      </c>
      <c r="G16" s="224">
        <v>1194.82</v>
      </c>
      <c r="H16" s="223">
        <v>567.62</v>
      </c>
      <c r="I16" s="224">
        <v>597.37</v>
      </c>
      <c r="J16" s="224">
        <v>1164.99</v>
      </c>
      <c r="K16" s="223">
        <v>311.89</v>
      </c>
      <c r="L16" s="224">
        <v>31.39</v>
      </c>
      <c r="M16" s="225">
        <v>343.28</v>
      </c>
    </row>
    <row r="17" spans="1:13" ht="13.5" thickBot="1">
      <c r="A17" s="79" t="s">
        <v>143</v>
      </c>
      <c r="B17" s="226">
        <v>370.07</v>
      </c>
      <c r="C17" s="226">
        <v>750.81</v>
      </c>
      <c r="D17" s="227">
        <v>1120.88</v>
      </c>
      <c r="E17" s="226">
        <v>487.75</v>
      </c>
      <c r="F17" s="226">
        <v>605.15</v>
      </c>
      <c r="G17" s="227">
        <v>1092.9</v>
      </c>
      <c r="H17" s="226">
        <v>483.1</v>
      </c>
      <c r="I17" s="226">
        <v>580.47</v>
      </c>
      <c r="J17" s="227">
        <v>1063.57</v>
      </c>
      <c r="K17" s="226">
        <v>258.93</v>
      </c>
      <c r="L17" s="227">
        <v>31.39</v>
      </c>
      <c r="M17" s="228">
        <v>290.32</v>
      </c>
    </row>
    <row r="18" ht="14.25" thickBot="1" thickTop="1"/>
    <row r="19" spans="1:13" ht="13.5" thickTop="1">
      <c r="A19" s="74">
        <v>2009</v>
      </c>
      <c r="B19" s="75"/>
      <c r="C19" s="76"/>
      <c r="D19" s="76"/>
      <c r="E19" s="75"/>
      <c r="F19" s="76"/>
      <c r="G19" s="76"/>
      <c r="H19" s="75"/>
      <c r="I19" s="76"/>
      <c r="J19" s="76"/>
      <c r="K19" s="75"/>
      <c r="L19" s="76"/>
      <c r="M19" s="77"/>
    </row>
    <row r="20" spans="1:13" ht="12.75">
      <c r="A20" s="78" t="s">
        <v>132</v>
      </c>
      <c r="B20" s="223">
        <v>364.03</v>
      </c>
      <c r="C20" s="224">
        <v>749.6</v>
      </c>
      <c r="D20" s="224">
        <v>1113.64</v>
      </c>
      <c r="E20" s="223">
        <v>453.17</v>
      </c>
      <c r="F20" s="224">
        <v>598.23</v>
      </c>
      <c r="G20" s="224">
        <v>1051.4</v>
      </c>
      <c r="H20" s="223">
        <v>449.13</v>
      </c>
      <c r="I20" s="224">
        <v>573.68</v>
      </c>
      <c r="J20" s="224">
        <v>1022.81</v>
      </c>
      <c r="K20" s="223">
        <v>239.4</v>
      </c>
      <c r="L20" s="224">
        <v>31.39</v>
      </c>
      <c r="M20" s="225">
        <v>270.79</v>
      </c>
    </row>
    <row r="21" spans="1:13" ht="12.75">
      <c r="A21" s="78" t="s">
        <v>133</v>
      </c>
      <c r="B21" s="223">
        <v>386.67</v>
      </c>
      <c r="C21" s="224">
        <v>754.13</v>
      </c>
      <c r="D21" s="224">
        <v>1140.8</v>
      </c>
      <c r="E21" s="223">
        <v>457.6</v>
      </c>
      <c r="F21" s="224">
        <v>599.12</v>
      </c>
      <c r="G21" s="224">
        <v>1056.72</v>
      </c>
      <c r="H21" s="223">
        <v>440.72</v>
      </c>
      <c r="I21" s="224">
        <v>571.99</v>
      </c>
      <c r="J21" s="224">
        <v>1012.71</v>
      </c>
      <c r="K21" s="223">
        <v>252.42</v>
      </c>
      <c r="L21" s="224">
        <v>31.39</v>
      </c>
      <c r="M21" s="225">
        <v>283.81</v>
      </c>
    </row>
    <row r="22" spans="1:13" ht="12.75">
      <c r="A22" s="78" t="s">
        <v>134</v>
      </c>
      <c r="B22" s="223">
        <v>404.84</v>
      </c>
      <c r="C22" s="224">
        <v>757.77</v>
      </c>
      <c r="D22" s="224">
        <v>1162.61</v>
      </c>
      <c r="E22" s="223">
        <v>429.33</v>
      </c>
      <c r="F22" s="224">
        <v>593.46</v>
      </c>
      <c r="G22" s="224">
        <v>1022.79</v>
      </c>
      <c r="H22" s="223">
        <v>418.15</v>
      </c>
      <c r="I22" s="224">
        <v>567.48</v>
      </c>
      <c r="J22" s="224">
        <v>985.62</v>
      </c>
      <c r="K22" s="223">
        <v>254.69</v>
      </c>
      <c r="L22" s="224">
        <v>31.39</v>
      </c>
      <c r="M22" s="225">
        <v>286.08</v>
      </c>
    </row>
    <row r="23" spans="1:13" ht="12.75">
      <c r="A23" s="78" t="s">
        <v>135</v>
      </c>
      <c r="B23" s="223">
        <v>423.74</v>
      </c>
      <c r="C23" s="224">
        <v>761.55</v>
      </c>
      <c r="D23" s="224">
        <v>1185.29</v>
      </c>
      <c r="E23" s="223">
        <v>444.87</v>
      </c>
      <c r="F23" s="224">
        <v>596.57</v>
      </c>
      <c r="G23" s="224">
        <v>1041.44</v>
      </c>
      <c r="H23" s="223">
        <v>439.33</v>
      </c>
      <c r="I23" s="224">
        <v>571.72</v>
      </c>
      <c r="J23" s="224">
        <v>1011.05</v>
      </c>
      <c r="K23" s="223">
        <v>265.15</v>
      </c>
      <c r="L23" s="224">
        <v>31.39</v>
      </c>
      <c r="M23" s="225">
        <v>296.54</v>
      </c>
    </row>
    <row r="24" spans="1:13" ht="12.75">
      <c r="A24" s="78" t="s">
        <v>136</v>
      </c>
      <c r="B24" s="223">
        <v>456.47</v>
      </c>
      <c r="C24" s="224">
        <v>768.09</v>
      </c>
      <c r="D24" s="224">
        <v>1224.56</v>
      </c>
      <c r="E24" s="223">
        <v>461.65</v>
      </c>
      <c r="F24" s="224">
        <v>599.93</v>
      </c>
      <c r="G24" s="224">
        <v>1061.58</v>
      </c>
      <c r="H24" s="223">
        <v>434.03</v>
      </c>
      <c r="I24" s="224">
        <v>570.66</v>
      </c>
      <c r="J24" s="224">
        <v>1004.69</v>
      </c>
      <c r="K24" s="223">
        <v>289.23</v>
      </c>
      <c r="L24" s="224">
        <v>31.39</v>
      </c>
      <c r="M24" s="225">
        <v>320.62</v>
      </c>
    </row>
    <row r="25" spans="1:13" ht="12.75">
      <c r="A25" s="78" t="s">
        <v>137</v>
      </c>
      <c r="B25" s="223">
        <v>515.03</v>
      </c>
      <c r="C25" s="224">
        <v>779.8</v>
      </c>
      <c r="D25" s="224">
        <v>1294.84</v>
      </c>
      <c r="E25" s="223">
        <v>490.35</v>
      </c>
      <c r="F25" s="224">
        <v>605.67</v>
      </c>
      <c r="G25" s="224">
        <v>1096.02</v>
      </c>
      <c r="H25" s="223">
        <v>470.2</v>
      </c>
      <c r="I25" s="224">
        <v>577.89</v>
      </c>
      <c r="J25" s="224">
        <v>1048.09</v>
      </c>
      <c r="K25" s="223">
        <v>325.3</v>
      </c>
      <c r="L25" s="224">
        <v>31.39</v>
      </c>
      <c r="M25" s="225">
        <v>356.69</v>
      </c>
    </row>
    <row r="26" spans="1:13" ht="12.75">
      <c r="A26" s="78" t="s">
        <v>138</v>
      </c>
      <c r="B26" s="223">
        <v>494.77</v>
      </c>
      <c r="C26" s="224">
        <v>775.75</v>
      </c>
      <c r="D26" s="224">
        <v>1270.52</v>
      </c>
      <c r="E26" s="223">
        <v>482.17</v>
      </c>
      <c r="F26" s="224">
        <v>604.03</v>
      </c>
      <c r="G26" s="224">
        <v>1086.2</v>
      </c>
      <c r="H26" s="223">
        <v>466.71</v>
      </c>
      <c r="I26" s="224">
        <v>577.2</v>
      </c>
      <c r="J26" s="224">
        <v>1043.91</v>
      </c>
      <c r="K26" s="223">
        <v>326.08</v>
      </c>
      <c r="L26" s="224">
        <v>31.39</v>
      </c>
      <c r="M26" s="225">
        <v>357.47</v>
      </c>
    </row>
    <row r="27" spans="1:13" ht="12.75">
      <c r="A27" s="78" t="s">
        <v>139</v>
      </c>
      <c r="B27" s="223">
        <v>515.69</v>
      </c>
      <c r="C27" s="224">
        <v>779.94</v>
      </c>
      <c r="D27" s="224">
        <v>1295.63</v>
      </c>
      <c r="E27" s="223">
        <v>508.15</v>
      </c>
      <c r="F27" s="224">
        <v>609.23</v>
      </c>
      <c r="G27" s="224">
        <v>1117.38</v>
      </c>
      <c r="H27" s="223">
        <v>489.25</v>
      </c>
      <c r="I27" s="224">
        <v>581.7</v>
      </c>
      <c r="J27" s="224">
        <v>1070.96</v>
      </c>
      <c r="K27" s="223">
        <v>350.39</v>
      </c>
      <c r="L27" s="224">
        <v>31.39</v>
      </c>
      <c r="M27" s="225">
        <v>381.78</v>
      </c>
    </row>
    <row r="28" spans="1:13" ht="12.75">
      <c r="A28" s="78" t="s">
        <v>140</v>
      </c>
      <c r="B28" s="223">
        <v>495.46</v>
      </c>
      <c r="C28" s="224">
        <v>775.89</v>
      </c>
      <c r="D28" s="224">
        <v>1271.35</v>
      </c>
      <c r="E28" s="223">
        <v>490.41</v>
      </c>
      <c r="F28" s="224">
        <v>605.68</v>
      </c>
      <c r="G28" s="224">
        <v>1096.09</v>
      </c>
      <c r="H28" s="223">
        <v>473.75</v>
      </c>
      <c r="I28" s="224">
        <v>578.6</v>
      </c>
      <c r="J28" s="224">
        <v>1052.36</v>
      </c>
      <c r="K28" s="223">
        <v>345.79</v>
      </c>
      <c r="L28" s="224">
        <v>31.39</v>
      </c>
      <c r="M28" s="225">
        <v>377.18</v>
      </c>
    </row>
    <row r="29" spans="1:13" ht="12.75">
      <c r="A29" s="78" t="s">
        <v>141</v>
      </c>
      <c r="B29" s="223">
        <v>482.98</v>
      </c>
      <c r="C29" s="224">
        <v>773.39</v>
      </c>
      <c r="D29" s="224">
        <v>1256.37</v>
      </c>
      <c r="E29" s="223">
        <v>490.11</v>
      </c>
      <c r="F29" s="224">
        <v>605.62</v>
      </c>
      <c r="G29" s="224">
        <v>1095.73</v>
      </c>
      <c r="H29" s="223">
        <v>477.06</v>
      </c>
      <c r="I29" s="224">
        <v>579.26</v>
      </c>
      <c r="J29" s="224">
        <v>1056.33</v>
      </c>
      <c r="K29" s="223">
        <v>343.85</v>
      </c>
      <c r="L29" s="224">
        <v>31.39</v>
      </c>
      <c r="M29" s="225">
        <v>375.24</v>
      </c>
    </row>
    <row r="30" spans="1:13" ht="12.75">
      <c r="A30" s="78" t="s">
        <v>142</v>
      </c>
      <c r="B30" s="223">
        <v>510.54</v>
      </c>
      <c r="C30" s="224">
        <v>778.9</v>
      </c>
      <c r="D30" s="224">
        <v>1289.44</v>
      </c>
      <c r="E30" s="223">
        <v>515.36</v>
      </c>
      <c r="F30" s="224">
        <v>610.67</v>
      </c>
      <c r="G30" s="224">
        <v>1126.04</v>
      </c>
      <c r="H30" s="223">
        <v>504.58</v>
      </c>
      <c r="I30" s="224">
        <v>584.77</v>
      </c>
      <c r="J30" s="224">
        <v>1089.35</v>
      </c>
      <c r="K30" s="223">
        <v>369.4</v>
      </c>
      <c r="L30" s="224">
        <v>31.39</v>
      </c>
      <c r="M30" s="225">
        <v>400.79</v>
      </c>
    </row>
    <row r="31" spans="1:13" ht="13.5" thickBot="1">
      <c r="A31" s="79" t="s">
        <v>143</v>
      </c>
      <c r="B31" s="226">
        <v>497.38</v>
      </c>
      <c r="C31" s="226">
        <v>776.28</v>
      </c>
      <c r="D31" s="227">
        <v>1273.66</v>
      </c>
      <c r="E31" s="226">
        <v>505.89</v>
      </c>
      <c r="F31" s="226">
        <v>608.78</v>
      </c>
      <c r="G31" s="227">
        <v>1114.67</v>
      </c>
      <c r="H31" s="226">
        <v>498.18</v>
      </c>
      <c r="I31" s="226">
        <v>583.49</v>
      </c>
      <c r="J31" s="227">
        <v>1081.67</v>
      </c>
      <c r="K31" s="226">
        <v>362.19</v>
      </c>
      <c r="L31" s="227">
        <v>31.39</v>
      </c>
      <c r="M31" s="228">
        <v>393.58</v>
      </c>
    </row>
    <row r="32" ht="14.25" thickBot="1" thickTop="1"/>
    <row r="33" spans="1:13" ht="13.5" thickTop="1">
      <c r="A33" s="74">
        <v>2010</v>
      </c>
      <c r="B33" s="75"/>
      <c r="C33" s="76"/>
      <c r="D33" s="76"/>
      <c r="E33" s="75"/>
      <c r="F33" s="76"/>
      <c r="G33" s="76"/>
      <c r="H33" s="75"/>
      <c r="I33" s="76"/>
      <c r="J33" s="76"/>
      <c r="K33" s="75"/>
      <c r="L33" s="76"/>
      <c r="M33" s="77"/>
    </row>
    <row r="34" spans="1:13" ht="12.75">
      <c r="A34" s="78" t="s">
        <v>132</v>
      </c>
      <c r="B34" s="223">
        <v>523.57</v>
      </c>
      <c r="C34" s="224">
        <v>781.51</v>
      </c>
      <c r="D34" s="224">
        <v>1305.08</v>
      </c>
      <c r="E34" s="223">
        <v>531.37</v>
      </c>
      <c r="F34" s="224">
        <v>613.87</v>
      </c>
      <c r="G34" s="224">
        <v>1145.25</v>
      </c>
      <c r="H34" s="223">
        <v>530.04</v>
      </c>
      <c r="I34" s="224">
        <v>589.86</v>
      </c>
      <c r="J34" s="224">
        <v>1119.89</v>
      </c>
      <c r="K34" s="223">
        <v>381.42</v>
      </c>
      <c r="L34" s="224">
        <v>31.39</v>
      </c>
      <c r="M34" s="225">
        <v>412.81</v>
      </c>
    </row>
    <row r="35" spans="1:13" ht="12.75">
      <c r="A35" s="78" t="s">
        <v>133</v>
      </c>
      <c r="B35" s="223">
        <v>530.06</v>
      </c>
      <c r="C35" s="224">
        <v>782.82</v>
      </c>
      <c r="D35" s="224">
        <v>1312.88</v>
      </c>
      <c r="E35" s="223">
        <v>528.94</v>
      </c>
      <c r="F35" s="224">
        <v>613.38</v>
      </c>
      <c r="G35" s="224">
        <v>1142.32</v>
      </c>
      <c r="H35" s="223">
        <v>525.48</v>
      </c>
      <c r="I35" s="224">
        <v>588.95</v>
      </c>
      <c r="J35" s="224">
        <v>1114.43</v>
      </c>
      <c r="K35" s="223">
        <v>379.88</v>
      </c>
      <c r="L35" s="224">
        <v>31.39</v>
      </c>
      <c r="M35" s="225">
        <v>411.27</v>
      </c>
    </row>
    <row r="36" spans="1:13" ht="12.75">
      <c r="A36" s="78" t="s">
        <v>134</v>
      </c>
      <c r="B36" s="223">
        <v>567.97</v>
      </c>
      <c r="C36" s="224">
        <v>790.39</v>
      </c>
      <c r="D36" s="224">
        <v>1358.36</v>
      </c>
      <c r="E36" s="223">
        <v>568.32</v>
      </c>
      <c r="F36" s="224">
        <v>621.26</v>
      </c>
      <c r="G36" s="224">
        <v>1189.58</v>
      </c>
      <c r="H36" s="223">
        <v>554.39</v>
      </c>
      <c r="I36" s="224">
        <v>594.73</v>
      </c>
      <c r="J36" s="224">
        <v>1149.12</v>
      </c>
      <c r="K36" s="223">
        <v>387.96</v>
      </c>
      <c r="L36" s="224">
        <v>31.39</v>
      </c>
      <c r="M36" s="225">
        <v>419.35</v>
      </c>
    </row>
    <row r="37" spans="1:13" ht="12.75">
      <c r="A37" s="78" t="s">
        <v>135</v>
      </c>
      <c r="B37" s="223">
        <v>591.39</v>
      </c>
      <c r="C37" s="224">
        <v>795.08</v>
      </c>
      <c r="D37" s="224">
        <v>1386.46</v>
      </c>
      <c r="E37" s="223">
        <v>590.19</v>
      </c>
      <c r="F37" s="224">
        <v>625.64</v>
      </c>
      <c r="G37" s="224">
        <v>1215.83</v>
      </c>
      <c r="H37" s="223">
        <v>582.22</v>
      </c>
      <c r="I37" s="224">
        <v>600.3</v>
      </c>
      <c r="J37" s="224">
        <v>1182.52</v>
      </c>
      <c r="K37" s="223">
        <v>416.87</v>
      </c>
      <c r="L37" s="224">
        <v>31.39</v>
      </c>
      <c r="M37" s="225">
        <v>448.26</v>
      </c>
    </row>
    <row r="38" spans="1:13" ht="12.75">
      <c r="A38" s="78" t="s">
        <v>136</v>
      </c>
      <c r="B38" s="223">
        <v>595.65</v>
      </c>
      <c r="C38" s="224">
        <v>795.93</v>
      </c>
      <c r="D38" s="224">
        <v>1391.58</v>
      </c>
      <c r="E38" s="223">
        <v>611.34</v>
      </c>
      <c r="F38" s="224">
        <v>629.87</v>
      </c>
      <c r="G38" s="224">
        <v>1241.21</v>
      </c>
      <c r="H38" s="223">
        <v>594.31</v>
      </c>
      <c r="I38" s="224">
        <v>602.71</v>
      </c>
      <c r="J38" s="224">
        <v>1197.02</v>
      </c>
      <c r="K38" s="223">
        <v>423</v>
      </c>
      <c r="L38" s="224">
        <v>31.39</v>
      </c>
      <c r="M38" s="225">
        <v>454.39</v>
      </c>
    </row>
    <row r="39" spans="1:13" ht="12.75">
      <c r="A39" s="78" t="s">
        <v>137</v>
      </c>
      <c r="B39" s="223">
        <v>583.85</v>
      </c>
      <c r="C39" s="224">
        <v>793.57</v>
      </c>
      <c r="D39" s="224">
        <v>1377.42</v>
      </c>
      <c r="E39" s="223">
        <v>607.25</v>
      </c>
      <c r="F39" s="224">
        <v>629.05</v>
      </c>
      <c r="G39" s="224">
        <v>1236.3</v>
      </c>
      <c r="H39" s="223">
        <v>598.41</v>
      </c>
      <c r="I39" s="224">
        <v>603.53</v>
      </c>
      <c r="J39" s="224">
        <v>1201.94</v>
      </c>
      <c r="K39" s="223">
        <v>416.14</v>
      </c>
      <c r="L39" s="224">
        <v>31.39</v>
      </c>
      <c r="M39" s="225">
        <v>447.53</v>
      </c>
    </row>
    <row r="40" spans="1:13" ht="12.75">
      <c r="A40" s="78" t="s">
        <v>138</v>
      </c>
      <c r="B40" s="223">
        <v>579.13</v>
      </c>
      <c r="C40" s="224">
        <v>792.63</v>
      </c>
      <c r="D40" s="224">
        <v>1371.76</v>
      </c>
      <c r="E40" s="223">
        <v>589.76</v>
      </c>
      <c r="F40" s="224">
        <v>625.55</v>
      </c>
      <c r="G40" s="224">
        <v>1215.31</v>
      </c>
      <c r="H40" s="223">
        <v>579.71</v>
      </c>
      <c r="I40" s="224">
        <v>599.79</v>
      </c>
      <c r="J40" s="224">
        <v>1179.51</v>
      </c>
      <c r="K40" s="223">
        <v>415.39</v>
      </c>
      <c r="L40" s="224">
        <v>31.39</v>
      </c>
      <c r="M40" s="225">
        <v>446.78</v>
      </c>
    </row>
    <row r="41" spans="1:13" ht="12.75">
      <c r="A41" s="78" t="s">
        <v>139</v>
      </c>
      <c r="B41" s="223">
        <v>571.55</v>
      </c>
      <c r="C41" s="224">
        <v>791.11</v>
      </c>
      <c r="D41" s="224">
        <v>1362.67</v>
      </c>
      <c r="E41" s="223">
        <v>586.53</v>
      </c>
      <c r="F41" s="224">
        <v>624.91</v>
      </c>
      <c r="G41" s="224">
        <v>1211.44</v>
      </c>
      <c r="H41" s="223">
        <v>578.09</v>
      </c>
      <c r="I41" s="224">
        <v>599.47</v>
      </c>
      <c r="J41" s="224">
        <v>1177.56</v>
      </c>
      <c r="K41" s="223">
        <v>418.53</v>
      </c>
      <c r="L41" s="224">
        <v>31.39</v>
      </c>
      <c r="M41" s="225">
        <v>449.92</v>
      </c>
    </row>
    <row r="42" spans="1:13" ht="12.75">
      <c r="A42" s="78" t="s">
        <v>140</v>
      </c>
      <c r="B42" s="223">
        <v>565.45</v>
      </c>
      <c r="C42" s="224">
        <v>789.89</v>
      </c>
      <c r="D42" s="224">
        <v>1355.34</v>
      </c>
      <c r="E42" s="223">
        <v>591.32</v>
      </c>
      <c r="F42" s="224">
        <v>625.86</v>
      </c>
      <c r="G42" s="224">
        <v>1217.18</v>
      </c>
      <c r="H42" s="223">
        <v>577.03</v>
      </c>
      <c r="I42" s="224">
        <v>599.26</v>
      </c>
      <c r="J42" s="224">
        <v>1176.29</v>
      </c>
      <c r="K42" s="223">
        <v>408.04</v>
      </c>
      <c r="L42" s="224">
        <v>31.39</v>
      </c>
      <c r="M42" s="225">
        <v>439.43</v>
      </c>
    </row>
    <row r="43" spans="1:13" ht="12.75">
      <c r="A43" s="78" t="s">
        <v>141</v>
      </c>
      <c r="B43" s="223">
        <v>562.52</v>
      </c>
      <c r="C43" s="224">
        <v>789.3</v>
      </c>
      <c r="D43" s="224">
        <v>1351.82</v>
      </c>
      <c r="E43" s="223">
        <v>594.89</v>
      </c>
      <c r="F43" s="224">
        <v>626.58</v>
      </c>
      <c r="G43" s="224">
        <v>1221.46</v>
      </c>
      <c r="H43" s="223">
        <v>580.92</v>
      </c>
      <c r="I43" s="224">
        <v>600.04</v>
      </c>
      <c r="J43" s="224">
        <v>1180.96</v>
      </c>
      <c r="K43" s="223">
        <v>399.45</v>
      </c>
      <c r="L43" s="224">
        <v>31.39</v>
      </c>
      <c r="M43" s="225">
        <v>430.84</v>
      </c>
    </row>
    <row r="44" spans="1:13" ht="12.75">
      <c r="A44" s="78" t="s">
        <v>142</v>
      </c>
      <c r="B44" s="223">
        <v>577.61</v>
      </c>
      <c r="C44" s="224">
        <v>792.32</v>
      </c>
      <c r="D44" s="224">
        <v>1369.93</v>
      </c>
      <c r="E44" s="223">
        <v>612.7</v>
      </c>
      <c r="F44" s="224">
        <v>630.14</v>
      </c>
      <c r="G44" s="224">
        <v>1242.84</v>
      </c>
      <c r="H44" s="223">
        <v>590.59</v>
      </c>
      <c r="I44" s="224">
        <v>601.97</v>
      </c>
      <c r="J44" s="224">
        <v>1192.55</v>
      </c>
      <c r="K44" s="223">
        <v>411.56</v>
      </c>
      <c r="L44" s="224">
        <v>31.39</v>
      </c>
      <c r="M44" s="225">
        <v>442.95</v>
      </c>
    </row>
    <row r="45" spans="1:13" ht="13.5" thickBot="1">
      <c r="A45" s="79" t="s">
        <v>143</v>
      </c>
      <c r="B45" s="226">
        <v>612.26</v>
      </c>
      <c r="C45" s="226">
        <v>799.25</v>
      </c>
      <c r="D45" s="227">
        <v>1411.52</v>
      </c>
      <c r="E45" s="226">
        <v>648.99</v>
      </c>
      <c r="F45" s="226">
        <v>637.4</v>
      </c>
      <c r="G45" s="227">
        <v>1286.38</v>
      </c>
      <c r="H45" s="226">
        <v>630.94</v>
      </c>
      <c r="I45" s="226">
        <v>610.04</v>
      </c>
      <c r="J45" s="227">
        <v>1240.99</v>
      </c>
      <c r="K45" s="226">
        <v>435.6</v>
      </c>
      <c r="L45" s="227">
        <v>31.39</v>
      </c>
      <c r="M45" s="228">
        <v>466.99</v>
      </c>
    </row>
    <row r="46" ht="13.5" thickTop="1"/>
    <row r="47" ht="12.75">
      <c r="A47" s="280" t="s">
        <v>172</v>
      </c>
    </row>
  </sheetData>
  <sheetProtection/>
  <mergeCells count="1">
    <mergeCell ref="A2:M2"/>
  </mergeCells>
  <printOptions horizontalCentered="1"/>
  <pageMargins left="0" right="0" top="0.44" bottom="0" header="0.25" footer="0.22"/>
  <pageSetup fitToHeight="1" fitToWidth="1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4"/>
  <dimension ref="A1:J42"/>
  <sheetViews>
    <sheetView showGridLines="0" zoomScalePageLayoutView="0" workbookViewId="0" topLeftCell="A1">
      <selection activeCell="C4" sqref="C4"/>
    </sheetView>
  </sheetViews>
  <sheetFormatPr defaultColWidth="9.140625" defaultRowHeight="12.75"/>
  <cols>
    <col min="1" max="3" width="9.140625" style="336" customWidth="1"/>
    <col min="4" max="4" width="8.8515625" style="336" customWidth="1"/>
    <col min="5" max="5" width="9.8515625" style="336" customWidth="1"/>
    <col min="6" max="6" width="10.28125" style="336" customWidth="1"/>
    <col min="7" max="7" width="10.00390625" style="336" customWidth="1"/>
    <col min="8" max="9" width="8.7109375" style="336" customWidth="1"/>
    <col min="10" max="16384" width="9.140625" style="336" customWidth="1"/>
  </cols>
  <sheetData>
    <row r="1" spans="1:10" ht="12.75">
      <c r="A1" s="581" t="s">
        <v>0</v>
      </c>
      <c r="B1" s="581"/>
      <c r="C1" s="581"/>
      <c r="D1" s="581"/>
      <c r="E1" s="581"/>
      <c r="F1" s="581"/>
      <c r="G1" s="581"/>
      <c r="H1" s="581"/>
      <c r="I1" s="581"/>
      <c r="J1" s="581"/>
    </row>
    <row r="2" spans="1:10" ht="13.5" thickBot="1">
      <c r="A2" s="582" t="s">
        <v>1</v>
      </c>
      <c r="B2" s="582"/>
      <c r="C2" s="582"/>
      <c r="D2" s="582"/>
      <c r="E2" s="582"/>
      <c r="F2" s="582"/>
      <c r="G2" s="582"/>
      <c r="H2" s="582"/>
      <c r="I2" s="582"/>
      <c r="J2" s="582"/>
    </row>
    <row r="3" spans="1:10" ht="15" customHeight="1" thickTop="1">
      <c r="A3" s="543"/>
      <c r="B3" s="61"/>
      <c r="C3" s="61"/>
      <c r="D3" s="544"/>
      <c r="E3" s="523">
        <v>2005</v>
      </c>
      <c r="F3" s="524">
        <v>2006</v>
      </c>
      <c r="G3" s="525">
        <v>2007</v>
      </c>
      <c r="H3" s="525">
        <v>2008</v>
      </c>
      <c r="I3" s="526">
        <v>2009</v>
      </c>
      <c r="J3" s="527">
        <v>2010</v>
      </c>
    </row>
    <row r="4" spans="1:10" ht="12.75">
      <c r="A4" s="63" t="s">
        <v>155</v>
      </c>
      <c r="B4" s="1"/>
      <c r="C4" s="1"/>
      <c r="D4" s="545"/>
      <c r="E4" s="528"/>
      <c r="F4" s="529"/>
      <c r="G4" s="528"/>
      <c r="H4" s="528"/>
      <c r="I4" s="528"/>
      <c r="J4" s="530"/>
    </row>
    <row r="5" spans="1:10" ht="12.75">
      <c r="A5" s="63" t="s">
        <v>156</v>
      </c>
      <c r="B5" s="1"/>
      <c r="C5" s="1"/>
      <c r="D5" s="545"/>
      <c r="E5" s="531">
        <v>36.1</v>
      </c>
      <c r="F5" s="532">
        <v>37</v>
      </c>
      <c r="G5" s="531">
        <v>32.8</v>
      </c>
      <c r="H5" s="531">
        <v>41.6</v>
      </c>
      <c r="I5" s="531">
        <v>49.1</v>
      </c>
      <c r="J5" s="533">
        <v>51.1</v>
      </c>
    </row>
    <row r="6" spans="1:10" ht="12.75">
      <c r="A6" s="63" t="s">
        <v>2</v>
      </c>
      <c r="B6" s="1"/>
      <c r="C6" s="1"/>
      <c r="D6" s="545"/>
      <c r="E6" s="534">
        <v>5.3</v>
      </c>
      <c r="F6" s="535">
        <v>5.5</v>
      </c>
      <c r="G6" s="534">
        <v>5.6</v>
      </c>
      <c r="H6" s="534">
        <v>5.5</v>
      </c>
      <c r="I6" s="534">
        <v>5.3</v>
      </c>
      <c r="J6" s="536">
        <v>5.4</v>
      </c>
    </row>
    <row r="7" spans="1:10" ht="12.75">
      <c r="A7" s="63" t="s">
        <v>157</v>
      </c>
      <c r="B7" s="1"/>
      <c r="C7" s="1"/>
      <c r="D7" s="545"/>
      <c r="E7" s="534">
        <v>8.5</v>
      </c>
      <c r="F7" s="535">
        <v>9.7</v>
      </c>
      <c r="G7" s="534">
        <v>11</v>
      </c>
      <c r="H7" s="534">
        <v>12.6</v>
      </c>
      <c r="I7" s="534">
        <v>14.8</v>
      </c>
      <c r="J7" s="536">
        <v>20.5</v>
      </c>
    </row>
    <row r="8" spans="1:10" ht="12.75">
      <c r="A8" s="63" t="s">
        <v>3</v>
      </c>
      <c r="B8" s="1"/>
      <c r="C8" s="1"/>
      <c r="D8" s="545"/>
      <c r="E8" s="535">
        <v>246.9</v>
      </c>
      <c r="F8" s="535">
        <v>255.40000000000003</v>
      </c>
      <c r="G8" s="534">
        <v>258.8</v>
      </c>
      <c r="H8" s="534">
        <f>SUM(H10:H13)</f>
        <v>253.79999999999998</v>
      </c>
      <c r="I8" s="534">
        <f>SUM(I10:I13)</f>
        <v>219.1</v>
      </c>
      <c r="J8" s="536">
        <f>SUM(J10:J13)</f>
        <v>221.79999999999998</v>
      </c>
    </row>
    <row r="9" spans="1:10" ht="12.75">
      <c r="A9" s="63" t="s">
        <v>4</v>
      </c>
      <c r="B9" s="1"/>
      <c r="C9" s="1"/>
      <c r="D9" s="545"/>
      <c r="E9" s="534"/>
      <c r="F9" s="535"/>
      <c r="G9" s="534"/>
      <c r="H9" s="534"/>
      <c r="I9" s="534"/>
      <c r="J9" s="536"/>
    </row>
    <row r="10" spans="1:10" ht="14.25" customHeight="1">
      <c r="A10" s="63" t="s">
        <v>173</v>
      </c>
      <c r="B10" s="1"/>
      <c r="C10" s="1"/>
      <c r="D10" s="545"/>
      <c r="E10" s="534">
        <v>43.6</v>
      </c>
      <c r="F10" s="532">
        <v>44.2</v>
      </c>
      <c r="G10" s="531">
        <v>44.1</v>
      </c>
      <c r="H10" s="531">
        <v>43.1</v>
      </c>
      <c r="I10" s="531">
        <v>39.7</v>
      </c>
      <c r="J10" s="533">
        <v>39.7</v>
      </c>
    </row>
    <row r="11" spans="1:10" ht="12.75" customHeight="1">
      <c r="A11" s="63" t="s">
        <v>5</v>
      </c>
      <c r="B11" s="1"/>
      <c r="C11" s="1"/>
      <c r="D11" s="545"/>
      <c r="E11" s="535">
        <v>149.3</v>
      </c>
      <c r="F11" s="535">
        <v>158.1</v>
      </c>
      <c r="G11" s="534">
        <v>172.6</v>
      </c>
      <c r="H11" s="534">
        <v>172.7</v>
      </c>
      <c r="I11" s="534">
        <v>147.3</v>
      </c>
      <c r="J11" s="536">
        <v>152.7</v>
      </c>
    </row>
    <row r="12" spans="1:10" ht="12.75">
      <c r="A12" s="63" t="s">
        <v>158</v>
      </c>
      <c r="B12" s="1"/>
      <c r="C12" s="1"/>
      <c r="D12" s="545"/>
      <c r="E12" s="534">
        <v>35.8</v>
      </c>
      <c r="F12" s="535">
        <v>33.8</v>
      </c>
      <c r="G12" s="534">
        <v>22.9</v>
      </c>
      <c r="H12" s="534">
        <v>19.2</v>
      </c>
      <c r="I12" s="534">
        <v>15.9</v>
      </c>
      <c r="J12" s="536">
        <v>9.9</v>
      </c>
    </row>
    <row r="13" spans="1:10" ht="12.75">
      <c r="A13" s="63" t="s">
        <v>159</v>
      </c>
      <c r="B13" s="1"/>
      <c r="C13" s="1"/>
      <c r="D13" s="545"/>
      <c r="E13" s="534">
        <v>18.2</v>
      </c>
      <c r="F13" s="532">
        <v>19.3</v>
      </c>
      <c r="G13" s="531">
        <v>19.2</v>
      </c>
      <c r="H13" s="531">
        <v>18.8</v>
      </c>
      <c r="I13" s="531">
        <v>16.2</v>
      </c>
      <c r="J13" s="533">
        <f>17.4+2.1</f>
        <v>19.5</v>
      </c>
    </row>
    <row r="14" spans="1:10" ht="18.75" customHeight="1">
      <c r="A14" s="62" t="s">
        <v>6</v>
      </c>
      <c r="B14" s="1"/>
      <c r="C14" s="1"/>
      <c r="D14" s="545"/>
      <c r="E14" s="534">
        <v>296.8</v>
      </c>
      <c r="F14" s="535">
        <v>307.6</v>
      </c>
      <c r="G14" s="534">
        <v>308.2</v>
      </c>
      <c r="H14" s="534">
        <f>SUM(H5:H8)</f>
        <v>313.5</v>
      </c>
      <c r="I14" s="534">
        <f>SUM(I5:I8)</f>
        <v>288.3</v>
      </c>
      <c r="J14" s="536">
        <f>SUM(J5:J8)</f>
        <v>298.79999999999995</v>
      </c>
    </row>
    <row r="15" spans="1:10" ht="12.75">
      <c r="A15" s="62" t="s">
        <v>154</v>
      </c>
      <c r="B15" s="1"/>
      <c r="C15" s="1"/>
      <c r="D15" s="545"/>
      <c r="E15" s="537"/>
      <c r="F15" s="538"/>
      <c r="G15" s="537"/>
      <c r="H15" s="537"/>
      <c r="I15" s="537"/>
      <c r="J15" s="539"/>
    </row>
    <row r="16" spans="1:10" ht="12.75">
      <c r="A16" s="63" t="s">
        <v>160</v>
      </c>
      <c r="B16" s="1"/>
      <c r="C16" s="1"/>
      <c r="D16" s="545"/>
      <c r="E16" s="534">
        <v>13.1</v>
      </c>
      <c r="F16" s="532">
        <v>12.9</v>
      </c>
      <c r="G16" s="531">
        <v>12.6</v>
      </c>
      <c r="H16" s="531">
        <v>12</v>
      </c>
      <c r="I16" s="531">
        <v>11.5</v>
      </c>
      <c r="J16" s="533">
        <v>11.3</v>
      </c>
    </row>
    <row r="17" spans="1:10" ht="12.75">
      <c r="A17" s="546" t="s">
        <v>161</v>
      </c>
      <c r="B17" s="547"/>
      <c r="C17" s="547"/>
      <c r="D17" s="548"/>
      <c r="E17" s="531">
        <v>2.5</v>
      </c>
      <c r="F17" s="532">
        <v>2.3</v>
      </c>
      <c r="G17" s="531">
        <v>2</v>
      </c>
      <c r="H17" s="531">
        <v>2</v>
      </c>
      <c r="I17" s="531">
        <v>1.5</v>
      </c>
      <c r="J17" s="533">
        <v>1.2</v>
      </c>
    </row>
    <row r="18" spans="1:10" ht="12.75">
      <c r="A18" s="62" t="s">
        <v>7</v>
      </c>
      <c r="B18" s="1"/>
      <c r="C18" s="1"/>
      <c r="D18" s="545"/>
      <c r="E18" s="534">
        <v>49.2</v>
      </c>
      <c r="F18" s="535">
        <v>45</v>
      </c>
      <c r="G18" s="534">
        <v>46.3</v>
      </c>
      <c r="H18" s="534">
        <v>40</v>
      </c>
      <c r="I18" s="534">
        <v>45</v>
      </c>
      <c r="J18" s="536">
        <v>44.2</v>
      </c>
    </row>
    <row r="19" spans="1:10" ht="18.75" customHeight="1" thickBot="1">
      <c r="A19" s="549" t="s">
        <v>162</v>
      </c>
      <c r="B19" s="65"/>
      <c r="C19" s="65"/>
      <c r="D19" s="550"/>
      <c r="E19" s="540">
        <v>330.4</v>
      </c>
      <c r="F19" s="540">
        <v>337.40000000000003</v>
      </c>
      <c r="G19" s="541">
        <v>339.9</v>
      </c>
      <c r="H19" s="541">
        <f>SUM(H14-H16-H17+H18)</f>
        <v>339.5</v>
      </c>
      <c r="I19" s="541">
        <f>SUM(I14-I16-I17+I18)</f>
        <v>320.3</v>
      </c>
      <c r="J19" s="542">
        <f>SUM(J14-J16-J17+J18)</f>
        <v>330.49999999999994</v>
      </c>
    </row>
    <row r="20" spans="1:10" ht="18.75" customHeight="1" thickTop="1">
      <c r="A20" s="216" t="s">
        <v>163</v>
      </c>
      <c r="B20" s="1"/>
      <c r="C20" s="1"/>
      <c r="D20" s="1"/>
      <c r="E20" s="215"/>
      <c r="F20" s="215"/>
      <c r="G20" s="215"/>
      <c r="H20" s="215"/>
      <c r="I20" s="215"/>
      <c r="J20" s="215"/>
    </row>
    <row r="21" spans="1:10" ht="12.75">
      <c r="A21" s="216" t="s">
        <v>164</v>
      </c>
      <c r="B21" s="1"/>
      <c r="C21" s="1"/>
      <c r="D21" s="1"/>
      <c r="E21" s="215"/>
      <c r="F21" s="215"/>
      <c r="G21" s="215"/>
      <c r="H21" s="215"/>
      <c r="I21" s="215"/>
      <c r="J21" s="215"/>
    </row>
    <row r="22" spans="1:10" ht="12.75">
      <c r="A22" s="139" t="s">
        <v>165</v>
      </c>
      <c r="B22" s="139"/>
      <c r="C22" s="139"/>
      <c r="D22" s="139"/>
      <c r="E22" s="139"/>
      <c r="F22" s="139"/>
      <c r="G22" s="139"/>
      <c r="H22" s="139"/>
      <c r="I22" s="139"/>
      <c r="J22" s="139"/>
    </row>
    <row r="23" spans="1:10" ht="12.75">
      <c r="A23" s="139" t="s">
        <v>166</v>
      </c>
      <c r="B23" s="139"/>
      <c r="C23" s="139"/>
      <c r="D23" s="139"/>
      <c r="E23" s="139"/>
      <c r="F23" s="139"/>
      <c r="G23" s="139"/>
      <c r="H23" s="139"/>
      <c r="I23" s="139"/>
      <c r="J23" s="139"/>
    </row>
    <row r="24" spans="1:10" ht="12.75">
      <c r="A24" s="139" t="s">
        <v>167</v>
      </c>
      <c r="B24" s="139"/>
      <c r="C24" s="139"/>
      <c r="D24" s="139"/>
      <c r="E24" s="139"/>
      <c r="F24" s="139"/>
      <c r="G24" s="139"/>
      <c r="H24" s="139"/>
      <c r="I24" s="139"/>
      <c r="J24" s="139"/>
    </row>
    <row r="25" spans="1:10" ht="12.75">
      <c r="A25" s="139" t="s">
        <v>8</v>
      </c>
      <c r="D25" s="139"/>
      <c r="E25" s="139"/>
      <c r="F25" s="139"/>
      <c r="G25" s="139"/>
      <c r="H25" s="139"/>
      <c r="I25" s="139"/>
      <c r="J25" s="139"/>
    </row>
    <row r="26" spans="1:10" ht="12.75">
      <c r="A26" s="139" t="s">
        <v>9</v>
      </c>
      <c r="B26" s="139"/>
      <c r="C26" s="139"/>
      <c r="D26" s="139"/>
      <c r="E26" s="139"/>
      <c r="F26" s="139"/>
      <c r="G26" s="139"/>
      <c r="H26" s="139"/>
      <c r="I26" s="139"/>
      <c r="J26" s="139"/>
    </row>
    <row r="27" spans="1:10" ht="12.75">
      <c r="A27" s="139" t="s">
        <v>168</v>
      </c>
      <c r="B27" s="139"/>
      <c r="C27" s="139"/>
      <c r="D27" s="139"/>
      <c r="E27" s="139"/>
      <c r="F27" s="139"/>
      <c r="G27" s="139"/>
      <c r="H27" s="139"/>
      <c r="I27" s="139"/>
      <c r="J27" s="139"/>
    </row>
    <row r="28" spans="1:10" ht="12.75">
      <c r="A28" s="139" t="s">
        <v>10</v>
      </c>
      <c r="B28" s="139"/>
      <c r="C28" s="139"/>
      <c r="D28" s="139"/>
      <c r="E28" s="139"/>
      <c r="F28" s="139"/>
      <c r="G28" s="139"/>
      <c r="H28" s="139"/>
      <c r="I28" s="139"/>
      <c r="J28" s="139"/>
    </row>
    <row r="29" spans="1:10" ht="12.75">
      <c r="A29" s="139" t="s">
        <v>11</v>
      </c>
      <c r="B29" s="139"/>
      <c r="C29" s="139"/>
      <c r="D29" s="139"/>
      <c r="E29" s="139"/>
      <c r="F29" s="139"/>
      <c r="G29" s="139"/>
      <c r="H29" s="139"/>
      <c r="I29" s="139"/>
      <c r="J29" s="139"/>
    </row>
    <row r="30" spans="1:10" ht="12.75">
      <c r="A30" s="139" t="s">
        <v>12</v>
      </c>
      <c r="B30" s="139"/>
      <c r="C30" s="139"/>
      <c r="D30" s="139"/>
      <c r="E30" s="139"/>
      <c r="F30" s="139"/>
      <c r="G30" s="139"/>
      <c r="H30" s="139"/>
      <c r="I30" s="139"/>
      <c r="J30" s="139"/>
    </row>
    <row r="31" spans="1:10" ht="12.75">
      <c r="A31" s="139" t="s">
        <v>169</v>
      </c>
      <c r="B31" s="139"/>
      <c r="C31" s="139"/>
      <c r="D31" s="139"/>
      <c r="E31" s="139"/>
      <c r="F31" s="139"/>
      <c r="G31" s="139"/>
      <c r="H31" s="139"/>
      <c r="I31" s="139"/>
      <c r="J31" s="139"/>
    </row>
    <row r="32" spans="1:10" ht="12.75">
      <c r="A32" s="139" t="s">
        <v>13</v>
      </c>
      <c r="B32" s="139"/>
      <c r="C32" s="139"/>
      <c r="D32" s="139"/>
      <c r="E32" s="139"/>
      <c r="F32" s="139"/>
      <c r="G32" s="139"/>
      <c r="H32" s="139"/>
      <c r="I32" s="139"/>
      <c r="J32" s="139"/>
    </row>
    <row r="33" spans="1:10" ht="12.75">
      <c r="A33" s="139" t="s">
        <v>71</v>
      </c>
      <c r="B33" s="139"/>
      <c r="C33" s="64"/>
      <c r="D33" s="64"/>
      <c r="E33" s="64"/>
      <c r="F33" s="64"/>
      <c r="G33" s="64"/>
      <c r="H33" s="64"/>
      <c r="I33" s="64"/>
      <c r="J33" s="64"/>
    </row>
    <row r="34" spans="1:9" ht="12.75">
      <c r="A34" s="64"/>
      <c r="B34" s="64"/>
      <c r="C34" s="64"/>
      <c r="D34" s="64"/>
      <c r="E34" s="64"/>
      <c r="F34" s="64"/>
      <c r="G34" s="64"/>
      <c r="H34" s="64"/>
      <c r="I34" s="64"/>
    </row>
    <row r="35" spans="1:9" ht="12.75">
      <c r="A35" s="64"/>
      <c r="B35" s="64"/>
      <c r="C35" s="64"/>
      <c r="D35" s="64"/>
      <c r="E35" s="64"/>
      <c r="F35" s="64"/>
      <c r="G35" s="64"/>
      <c r="H35" s="64"/>
      <c r="I35" s="64"/>
    </row>
    <row r="36" spans="1:9" ht="12.75">
      <c r="A36" s="64"/>
      <c r="B36" s="64"/>
      <c r="C36" s="64"/>
      <c r="D36" s="64"/>
      <c r="E36" s="64"/>
      <c r="F36" s="64"/>
      <c r="G36" s="64"/>
      <c r="H36" s="64"/>
      <c r="I36" s="64"/>
    </row>
    <row r="37" spans="1:9" ht="12.75">
      <c r="A37" s="64"/>
      <c r="B37" s="64"/>
      <c r="C37" s="64"/>
      <c r="D37" s="64"/>
      <c r="E37" s="64"/>
      <c r="F37" s="64"/>
      <c r="G37" s="64"/>
      <c r="H37" s="64"/>
      <c r="I37" s="64"/>
    </row>
    <row r="38" spans="1:9" ht="12.75">
      <c r="A38" s="64"/>
      <c r="B38" s="64"/>
      <c r="C38" s="64"/>
      <c r="D38" s="64"/>
      <c r="E38" s="64"/>
      <c r="F38" s="64"/>
      <c r="G38" s="64"/>
      <c r="H38" s="64"/>
      <c r="I38" s="64"/>
    </row>
    <row r="39" spans="1:9" ht="12.75">
      <c r="A39" s="64"/>
      <c r="B39" s="64"/>
      <c r="C39" s="64"/>
      <c r="D39" s="64"/>
      <c r="E39" s="64"/>
      <c r="F39" s="64"/>
      <c r="G39" s="64"/>
      <c r="H39" s="64"/>
      <c r="I39" s="64"/>
    </row>
    <row r="40" spans="1:9" ht="12.75">
      <c r="A40" s="64"/>
      <c r="B40" s="64"/>
      <c r="C40" s="64"/>
      <c r="D40" s="64"/>
      <c r="E40" s="64"/>
      <c r="F40" s="64"/>
      <c r="G40" s="64"/>
      <c r="H40" s="64"/>
      <c r="I40" s="64"/>
    </row>
    <row r="41" spans="1:9" ht="12.75">
      <c r="A41" s="64"/>
      <c r="B41" s="64"/>
      <c r="C41" s="64"/>
      <c r="D41" s="64"/>
      <c r="E41" s="64"/>
      <c r="F41" s="64"/>
      <c r="G41" s="64"/>
      <c r="H41" s="64"/>
      <c r="I41" s="64"/>
    </row>
    <row r="42" spans="5:9" ht="12.75">
      <c r="E42" s="64"/>
      <c r="F42" s="64"/>
      <c r="G42" s="64"/>
      <c r="H42" s="64"/>
      <c r="I42" s="64"/>
    </row>
  </sheetData>
  <sheetProtection/>
  <mergeCells count="2">
    <mergeCell ref="A1:J1"/>
    <mergeCell ref="A2:J2"/>
  </mergeCells>
  <printOptions horizontalCentered="1" verticalCentered="1"/>
  <pageMargins left="0.1968503937007874" right="0.1968503937007874" top="0.3937007874015748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N45"/>
  <sheetViews>
    <sheetView showGridLines="0" zoomScalePageLayoutView="0" workbookViewId="0" topLeftCell="A1">
      <selection activeCell="C4" sqref="C4"/>
    </sheetView>
  </sheetViews>
  <sheetFormatPr defaultColWidth="10.28125" defaultRowHeight="12.75"/>
  <cols>
    <col min="1" max="1" width="13.28125" style="323" customWidth="1"/>
    <col min="2" max="2" width="12.28125" style="323" customWidth="1"/>
    <col min="3" max="9" width="6.421875" style="323" customWidth="1"/>
    <col min="10" max="10" width="5.421875" style="323" bestFit="1" customWidth="1"/>
    <col min="11" max="11" width="8.8515625" style="323" bestFit="1" customWidth="1"/>
    <col min="12" max="12" width="5.421875" style="323" customWidth="1"/>
    <col min="13" max="13" width="8.7109375" style="323" customWidth="1"/>
    <col min="14" max="14" width="7.140625" style="323" customWidth="1"/>
    <col min="15" max="16384" width="10.28125" style="323" customWidth="1"/>
  </cols>
  <sheetData>
    <row r="1" spans="1:14" ht="12.75">
      <c r="A1" s="583" t="s">
        <v>14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</row>
    <row r="2" spans="1:14" ht="13.5" thickBot="1">
      <c r="A2" s="584" t="s">
        <v>15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</row>
    <row r="3" spans="1:14" s="328" customFormat="1" ht="19.5" customHeight="1" thickTop="1">
      <c r="A3" s="4" t="s">
        <v>16</v>
      </c>
      <c r="B3" s="5"/>
      <c r="C3" s="207" t="s">
        <v>236</v>
      </c>
      <c r="D3" s="206"/>
      <c r="E3" s="207" t="s">
        <v>242</v>
      </c>
      <c r="F3" s="206"/>
      <c r="G3" s="385" t="s">
        <v>246</v>
      </c>
      <c r="H3" s="386"/>
      <c r="I3" s="385">
        <v>2008</v>
      </c>
      <c r="J3" s="386"/>
      <c r="K3" s="385">
        <v>2009</v>
      </c>
      <c r="L3" s="386"/>
      <c r="M3" s="205">
        <v>2010</v>
      </c>
      <c r="N3" s="453"/>
    </row>
    <row r="4" spans="1:14" ht="15" customHeight="1">
      <c r="A4" s="6"/>
      <c r="B4" s="7"/>
      <c r="C4" s="8" t="s">
        <v>17</v>
      </c>
      <c r="D4" s="9" t="s">
        <v>18</v>
      </c>
      <c r="E4" s="8" t="s">
        <v>17</v>
      </c>
      <c r="F4" s="9" t="s">
        <v>18</v>
      </c>
      <c r="G4" s="387" t="s">
        <v>17</v>
      </c>
      <c r="H4" s="388" t="s">
        <v>18</v>
      </c>
      <c r="I4" s="387" t="s">
        <v>17</v>
      </c>
      <c r="J4" s="388" t="s">
        <v>18</v>
      </c>
      <c r="K4" s="387" t="s">
        <v>17</v>
      </c>
      <c r="L4" s="388" t="s">
        <v>18</v>
      </c>
      <c r="M4" s="8" t="s">
        <v>17</v>
      </c>
      <c r="N4" s="454" t="s">
        <v>18</v>
      </c>
    </row>
    <row r="5" spans="1:14" ht="15" customHeight="1">
      <c r="A5" s="10" t="s">
        <v>19</v>
      </c>
      <c r="B5" s="7"/>
      <c r="C5" s="11">
        <v>27818</v>
      </c>
      <c r="D5" s="12">
        <f>(C5/$C$41)*100</f>
        <v>31.145944130325255</v>
      </c>
      <c r="E5" s="11">
        <v>25810</v>
      </c>
      <c r="F5" s="12">
        <f>(E5/$E$41)*100</f>
        <v>29.664620830747307</v>
      </c>
      <c r="G5" s="389">
        <f>SUM(G6:G11)</f>
        <v>28088</v>
      </c>
      <c r="H5" s="12">
        <f>(G5/$G$41)*100</f>
        <v>31.860976882415663</v>
      </c>
      <c r="I5" s="455">
        <f>SUM(I6:I11)</f>
        <v>24136</v>
      </c>
      <c r="J5" s="12">
        <f>(I5/$I$41)*100</f>
        <v>29.279891304347828</v>
      </c>
      <c r="K5" s="455">
        <f>SUM(K6:K11)</f>
        <v>29161</v>
      </c>
      <c r="L5" s="12">
        <f>(K5/$K$41)*100</f>
        <v>38.22037563731208</v>
      </c>
      <c r="M5" s="455">
        <f>SUM(M6:M12)</f>
        <v>28075</v>
      </c>
      <c r="N5" s="456">
        <f aca="true" t="shared" si="0" ref="N5:N12">(M5/$M$41)*100</f>
        <v>35.71019728055559</v>
      </c>
    </row>
    <row r="6" spans="1:14" ht="12.75">
      <c r="A6" s="6" t="s">
        <v>20</v>
      </c>
      <c r="B6" s="7"/>
      <c r="C6" s="13">
        <v>3314</v>
      </c>
      <c r="D6" s="12">
        <f>(C6/$C$41)*100</f>
        <v>3.710462968146448</v>
      </c>
      <c r="E6" s="13">
        <v>3817</v>
      </c>
      <c r="F6" s="12">
        <f aca="true" t="shared" si="1" ref="F6:F42">(E6/$E$41)*100</f>
        <v>4.387053766406915</v>
      </c>
      <c r="G6" s="390">
        <v>2868</v>
      </c>
      <c r="H6" s="12">
        <f aca="true" t="shared" si="2" ref="H6:H41">(G6/$G$41)*100</f>
        <v>3.253249846865854</v>
      </c>
      <c r="I6" s="457">
        <v>2522</v>
      </c>
      <c r="J6" s="12">
        <f>(I6/$I$41)*100</f>
        <v>3.059491459627329</v>
      </c>
      <c r="K6" s="457">
        <v>2727</v>
      </c>
      <c r="L6" s="12">
        <f aca="true" t="shared" si="3" ref="L6:L42">(K6/$K$41)*100</f>
        <v>3.574190335137686</v>
      </c>
      <c r="M6" s="457">
        <v>1183</v>
      </c>
      <c r="N6" s="456">
        <f t="shared" si="0"/>
        <v>1.5047253208511937</v>
      </c>
    </row>
    <row r="7" spans="1:14" ht="12.75">
      <c r="A7" s="6" t="s">
        <v>21</v>
      </c>
      <c r="B7" s="7"/>
      <c r="C7" s="551" t="s">
        <v>252</v>
      </c>
      <c r="D7" s="552" t="s">
        <v>252</v>
      </c>
      <c r="E7" s="13">
        <v>191</v>
      </c>
      <c r="F7" s="12">
        <f t="shared" si="1"/>
        <v>0.21952509022366276</v>
      </c>
      <c r="G7" s="390">
        <v>171</v>
      </c>
      <c r="H7" s="12">
        <f t="shared" si="2"/>
        <v>0.19396991764785954</v>
      </c>
      <c r="I7" s="457">
        <v>322</v>
      </c>
      <c r="J7" s="12">
        <f>(I7/$I$41)*100</f>
        <v>0.390625</v>
      </c>
      <c r="K7" s="457">
        <v>89</v>
      </c>
      <c r="L7" s="12">
        <f t="shared" si="3"/>
        <v>0.1166494095442809</v>
      </c>
      <c r="M7" s="457">
        <v>349</v>
      </c>
      <c r="N7" s="456">
        <f t="shared" si="0"/>
        <v>0.4439130490085094</v>
      </c>
    </row>
    <row r="8" spans="1:14" ht="12.75">
      <c r="A8" s="36" t="s">
        <v>65</v>
      </c>
      <c r="B8" s="7"/>
      <c r="C8" s="13">
        <v>6064</v>
      </c>
      <c r="D8" s="12">
        <f>(C8/$C$41)*100</f>
        <v>6.789453059396518</v>
      </c>
      <c r="E8" s="13">
        <v>7778</v>
      </c>
      <c r="F8" s="12">
        <f t="shared" si="1"/>
        <v>8.93961335999816</v>
      </c>
      <c r="G8" s="390">
        <v>8363</v>
      </c>
      <c r="H8" s="12">
        <f t="shared" si="2"/>
        <v>9.486376732684498</v>
      </c>
      <c r="I8" s="457">
        <v>8774</v>
      </c>
      <c r="J8" s="12">
        <f>(I8/$I$41)*100</f>
        <v>10.643924689440993</v>
      </c>
      <c r="K8" s="457">
        <f>9373+1557</f>
        <v>10930</v>
      </c>
      <c r="L8" s="12">
        <f t="shared" si="3"/>
        <v>14.32559602605607</v>
      </c>
      <c r="M8" s="457">
        <f>10958+3063+120</f>
        <v>14141</v>
      </c>
      <c r="N8" s="456">
        <f t="shared" si="0"/>
        <v>17.986746206387767</v>
      </c>
    </row>
    <row r="9" spans="1:14" ht="12.75">
      <c r="A9" s="14" t="s">
        <v>22</v>
      </c>
      <c r="B9" s="7"/>
      <c r="C9" s="13">
        <v>18440</v>
      </c>
      <c r="D9" s="12">
        <f>(C9/$C$41)*100</f>
        <v>20.64602810278229</v>
      </c>
      <c r="E9" s="13">
        <v>13956</v>
      </c>
      <c r="F9" s="12">
        <f t="shared" si="1"/>
        <v>16.040273084614853</v>
      </c>
      <c r="G9" s="390">
        <v>16539</v>
      </c>
      <c r="H9" s="12">
        <f t="shared" si="2"/>
        <v>18.760634315660518</v>
      </c>
      <c r="I9" s="457">
        <v>12329</v>
      </c>
      <c r="J9" s="12">
        <f>(I9/$I$41)*100</f>
        <v>14.956570263975156</v>
      </c>
      <c r="K9" s="457">
        <v>15128</v>
      </c>
      <c r="L9" s="12">
        <f t="shared" si="3"/>
        <v>19.827778287481816</v>
      </c>
      <c r="M9" s="457">
        <v>11597</v>
      </c>
      <c r="N9" s="456">
        <f t="shared" si="0"/>
        <v>14.750887190119435</v>
      </c>
    </row>
    <row r="10" spans="1:14" ht="12.75">
      <c r="A10" s="6" t="s">
        <v>23</v>
      </c>
      <c r="B10" s="7"/>
      <c r="C10" s="551" t="s">
        <v>252</v>
      </c>
      <c r="D10" s="552" t="s">
        <v>252</v>
      </c>
      <c r="E10" s="551" t="s">
        <v>252</v>
      </c>
      <c r="F10" s="552" t="s">
        <v>252</v>
      </c>
      <c r="G10" s="551" t="s">
        <v>252</v>
      </c>
      <c r="H10" s="12" t="s">
        <v>252</v>
      </c>
      <c r="I10" s="551" t="s">
        <v>252</v>
      </c>
      <c r="J10" s="12" t="s">
        <v>252</v>
      </c>
      <c r="K10" s="551" t="s">
        <v>252</v>
      </c>
      <c r="L10" s="12" t="s">
        <v>252</v>
      </c>
      <c r="M10" s="457">
        <v>80</v>
      </c>
      <c r="N10" s="456">
        <f t="shared" si="0"/>
        <v>0.1017565728386268</v>
      </c>
    </row>
    <row r="11" spans="1:14" ht="12.75">
      <c r="A11" s="6" t="s">
        <v>244</v>
      </c>
      <c r="B11" s="7"/>
      <c r="C11" s="551" t="s">
        <v>252</v>
      </c>
      <c r="D11" s="552" t="s">
        <v>252</v>
      </c>
      <c r="E11" s="13">
        <v>68</v>
      </c>
      <c r="F11" s="12">
        <f t="shared" si="1"/>
        <v>0.07815552950371239</v>
      </c>
      <c r="G11" s="390">
        <v>147</v>
      </c>
      <c r="H11" s="12">
        <f t="shared" si="2"/>
        <v>0.16674606955693186</v>
      </c>
      <c r="I11" s="457">
        <v>189</v>
      </c>
      <c r="J11" s="12">
        <f>(I11/$I$41)*100</f>
        <v>0.22927989130434784</v>
      </c>
      <c r="K11" s="457">
        <v>287</v>
      </c>
      <c r="L11" s="12">
        <f t="shared" si="3"/>
        <v>0.3761615790922317</v>
      </c>
      <c r="M11" s="457">
        <v>304</v>
      </c>
      <c r="N11" s="456">
        <f t="shared" si="0"/>
        <v>0.3866749767867818</v>
      </c>
    </row>
    <row r="12" spans="1:14" ht="12.75">
      <c r="A12" s="6" t="s">
        <v>64</v>
      </c>
      <c r="B12" s="7"/>
      <c r="C12" s="551" t="s">
        <v>252</v>
      </c>
      <c r="D12" s="552" t="s">
        <v>252</v>
      </c>
      <c r="E12" s="551" t="s">
        <v>252</v>
      </c>
      <c r="F12" s="552" t="s">
        <v>252</v>
      </c>
      <c r="G12" s="551" t="s">
        <v>252</v>
      </c>
      <c r="H12" s="12" t="s">
        <v>252</v>
      </c>
      <c r="I12" s="551" t="s">
        <v>252</v>
      </c>
      <c r="J12" s="12" t="s">
        <v>252</v>
      </c>
      <c r="K12" s="551" t="s">
        <v>252</v>
      </c>
      <c r="L12" s="12" t="s">
        <v>252</v>
      </c>
      <c r="M12" s="457">
        <v>421</v>
      </c>
      <c r="N12" s="456">
        <f t="shared" si="0"/>
        <v>0.5354939645632735</v>
      </c>
    </row>
    <row r="13" spans="1:14" ht="12.75">
      <c r="A13" s="14"/>
      <c r="B13" s="7"/>
      <c r="C13" s="13"/>
      <c r="D13" s="12"/>
      <c r="E13" s="13"/>
      <c r="F13" s="12">
        <f t="shared" si="1"/>
        <v>0</v>
      </c>
      <c r="G13" s="390"/>
      <c r="H13" s="12"/>
      <c r="I13" s="457"/>
      <c r="J13" s="12"/>
      <c r="K13" s="457"/>
      <c r="L13" s="12"/>
      <c r="M13" s="457"/>
      <c r="N13" s="456"/>
    </row>
    <row r="14" spans="1:14" ht="15" customHeight="1">
      <c r="A14" s="10" t="s">
        <v>24</v>
      </c>
      <c r="B14" s="7"/>
      <c r="C14" s="11">
        <v>122</v>
      </c>
      <c r="D14" s="12">
        <f>(C14/$C$41)*100</f>
        <v>0.13659519677545764</v>
      </c>
      <c r="E14" s="11">
        <v>71</v>
      </c>
      <c r="F14" s="12">
        <f t="shared" si="1"/>
        <v>0.08160356757005263</v>
      </c>
      <c r="G14" s="389">
        <f>SUM(G15:G17)</f>
        <v>107</v>
      </c>
      <c r="H14" s="12">
        <f t="shared" si="2"/>
        <v>0.12137298940538578</v>
      </c>
      <c r="I14" s="455">
        <f>SUM(I15:I17)</f>
        <v>60</v>
      </c>
      <c r="J14" s="12">
        <f>(I14/$I$41)*100</f>
        <v>0.07278726708074534</v>
      </c>
      <c r="K14" s="455">
        <f>SUM(K15:K17)</f>
        <v>0</v>
      </c>
      <c r="L14" s="12">
        <f>(K14/$I$41)*100</f>
        <v>0</v>
      </c>
      <c r="M14" s="455">
        <f>SUM(M15:M17)</f>
        <v>307</v>
      </c>
      <c r="N14" s="456">
        <f>(M14/$M$41)*100</f>
        <v>0.39049084826823033</v>
      </c>
    </row>
    <row r="15" spans="1:14" ht="12.75">
      <c r="A15" s="6" t="s">
        <v>25</v>
      </c>
      <c r="B15" s="7"/>
      <c r="C15" s="13">
        <v>86</v>
      </c>
      <c r="D15" s="12">
        <f>(C15/$C$41)*100</f>
        <v>0.09628841739909309</v>
      </c>
      <c r="E15" s="551" t="s">
        <v>252</v>
      </c>
      <c r="F15" s="552" t="s">
        <v>252</v>
      </c>
      <c r="G15" s="551" t="s">
        <v>252</v>
      </c>
      <c r="H15" s="552" t="s">
        <v>252</v>
      </c>
      <c r="I15" s="457">
        <v>22</v>
      </c>
      <c r="J15" s="12">
        <f>(I15/$I$41)*100</f>
        <v>0.026688664596273292</v>
      </c>
      <c r="K15" s="551" t="s">
        <v>252</v>
      </c>
      <c r="L15" s="12" t="s">
        <v>252</v>
      </c>
      <c r="M15" s="457">
        <v>167</v>
      </c>
      <c r="N15" s="456">
        <f>(M15/$M$41)*100</f>
        <v>0.21241684580063344</v>
      </c>
    </row>
    <row r="16" spans="1:14" ht="12.75">
      <c r="A16" s="6" t="s">
        <v>26</v>
      </c>
      <c r="B16" s="7"/>
      <c r="C16" s="13">
        <v>36</v>
      </c>
      <c r="D16" s="12">
        <f>(C16/$C$41)*100</f>
        <v>0.04030677937636455</v>
      </c>
      <c r="E16" s="13">
        <v>71</v>
      </c>
      <c r="F16" s="12">
        <f t="shared" si="1"/>
        <v>0.08160356757005263</v>
      </c>
      <c r="G16" s="390">
        <v>33</v>
      </c>
      <c r="H16" s="12">
        <f t="shared" si="2"/>
        <v>0.037432791125025525</v>
      </c>
      <c r="I16" s="457">
        <v>38</v>
      </c>
      <c r="J16" s="12">
        <f>(I16/$I$41)*100</f>
        <v>0.04609860248447205</v>
      </c>
      <c r="K16" s="551" t="s">
        <v>252</v>
      </c>
      <c r="L16" s="12" t="s">
        <v>252</v>
      </c>
      <c r="M16" s="457">
        <v>31</v>
      </c>
      <c r="N16" s="456">
        <f>(M16/$M$41)*100</f>
        <v>0.039430671974967885</v>
      </c>
    </row>
    <row r="17" spans="1:14" ht="12.75">
      <c r="A17" s="6" t="s">
        <v>27</v>
      </c>
      <c r="B17" s="7"/>
      <c r="C17" s="551" t="s">
        <v>252</v>
      </c>
      <c r="D17" s="552" t="s">
        <v>252</v>
      </c>
      <c r="E17" s="551" t="s">
        <v>252</v>
      </c>
      <c r="F17" s="552" t="s">
        <v>252</v>
      </c>
      <c r="G17" s="390">
        <v>74</v>
      </c>
      <c r="H17" s="12">
        <f t="shared" si="2"/>
        <v>0.08394019828036027</v>
      </c>
      <c r="I17" s="551" t="s">
        <v>252</v>
      </c>
      <c r="J17" s="12" t="s">
        <v>252</v>
      </c>
      <c r="K17" s="551" t="s">
        <v>252</v>
      </c>
      <c r="L17" s="12" t="s">
        <v>252</v>
      </c>
      <c r="M17" s="457">
        <v>109</v>
      </c>
      <c r="N17" s="456">
        <f>(M17/$M$41)*100</f>
        <v>0.138643330492629</v>
      </c>
    </row>
    <row r="18" spans="1:14" ht="12.75">
      <c r="A18" s="14"/>
      <c r="B18" s="7"/>
      <c r="C18" s="13"/>
      <c r="D18" s="12"/>
      <c r="E18" s="13"/>
      <c r="F18" s="12">
        <f t="shared" si="1"/>
        <v>0</v>
      </c>
      <c r="G18" s="390"/>
      <c r="H18" s="12"/>
      <c r="I18" s="457"/>
      <c r="J18" s="12"/>
      <c r="K18" s="457"/>
      <c r="L18" s="12"/>
      <c r="M18" s="457"/>
      <c r="N18" s="456"/>
    </row>
    <row r="19" spans="1:14" ht="15" customHeight="1">
      <c r="A19" s="10" t="s">
        <v>31</v>
      </c>
      <c r="B19" s="7"/>
      <c r="C19" s="11">
        <v>30540</v>
      </c>
      <c r="D19" s="12">
        <f>(C19/$C$41)*100</f>
        <v>34.19358450428259</v>
      </c>
      <c r="E19" s="11">
        <v>33232</v>
      </c>
      <c r="F19" s="12">
        <f t="shared" si="1"/>
        <v>38.19506700687309</v>
      </c>
      <c r="G19" s="389">
        <f>SUM(G20:G29)</f>
        <v>32078</v>
      </c>
      <c r="H19" s="12">
        <f t="shared" si="2"/>
        <v>36.38694162753239</v>
      </c>
      <c r="I19" s="455">
        <f>SUM(I20:I29)</f>
        <v>31855</v>
      </c>
      <c r="J19" s="12">
        <f>(I19/$I$41)*100</f>
        <v>38.643973214285715</v>
      </c>
      <c r="K19" s="455">
        <f>SUM(K20:K29)</f>
        <v>26754</v>
      </c>
      <c r="L19" s="12">
        <f t="shared" si="3"/>
        <v>35.06559890952462</v>
      </c>
      <c r="M19" s="455">
        <f>SUM(M20:M29)</f>
        <v>24712</v>
      </c>
      <c r="N19" s="456">
        <f aca="true" t="shared" si="4" ref="N19:N29">(M19/$M$41)*100</f>
        <v>31.432605349851816</v>
      </c>
    </row>
    <row r="20" spans="1:14" ht="12.75">
      <c r="A20" s="6" t="s">
        <v>32</v>
      </c>
      <c r="B20" s="7"/>
      <c r="C20" s="13">
        <v>2889</v>
      </c>
      <c r="D20" s="12">
        <f>(C20/$C$41)*100</f>
        <v>3.2346190449532553</v>
      </c>
      <c r="E20" s="13">
        <v>2694</v>
      </c>
      <c r="F20" s="12">
        <f t="shared" si="1"/>
        <v>3.0963381835735464</v>
      </c>
      <c r="G20" s="390">
        <v>750</v>
      </c>
      <c r="H20" s="12">
        <f t="shared" si="2"/>
        <v>0.8507452528414892</v>
      </c>
      <c r="I20" s="457">
        <v>770</v>
      </c>
      <c r="J20" s="12">
        <f>(I20/$I$41)*100</f>
        <v>0.9341032608695652</v>
      </c>
      <c r="K20" s="457">
        <v>451</v>
      </c>
      <c r="L20" s="12">
        <f t="shared" si="3"/>
        <v>0.5911110528592213</v>
      </c>
      <c r="M20" s="457">
        <v>611</v>
      </c>
      <c r="N20" s="456">
        <f t="shared" si="4"/>
        <v>0.7771658250550121</v>
      </c>
    </row>
    <row r="21" spans="1:14" ht="12.75">
      <c r="A21" s="6" t="s">
        <v>33</v>
      </c>
      <c r="B21" s="7"/>
      <c r="C21" s="13">
        <v>78</v>
      </c>
      <c r="D21" s="12">
        <f>(C21/$C$41)*100</f>
        <v>0.08733135531545652</v>
      </c>
      <c r="E21" s="13">
        <v>248</v>
      </c>
      <c r="F21" s="12">
        <f t="shared" si="1"/>
        <v>0.28503781348412754</v>
      </c>
      <c r="G21" s="551" t="s">
        <v>252</v>
      </c>
      <c r="H21" s="552" t="s">
        <v>252</v>
      </c>
      <c r="I21" s="551" t="s">
        <v>252</v>
      </c>
      <c r="J21" s="552" t="s">
        <v>252</v>
      </c>
      <c r="K21" s="551" t="s">
        <v>252</v>
      </c>
      <c r="L21" s="552" t="s">
        <v>252</v>
      </c>
      <c r="M21" s="457">
        <v>248</v>
      </c>
      <c r="N21" s="456">
        <f t="shared" si="4"/>
        <v>0.3154453757997431</v>
      </c>
    </row>
    <row r="22" spans="1:14" ht="12.75">
      <c r="A22" s="6" t="s">
        <v>34</v>
      </c>
      <c r="B22" s="7"/>
      <c r="C22" s="13">
        <v>694</v>
      </c>
      <c r="D22" s="12">
        <f>(C22/$C$41)*100</f>
        <v>0.7770251357554722</v>
      </c>
      <c r="E22" s="13">
        <v>2527</v>
      </c>
      <c r="F22" s="12">
        <f t="shared" si="1"/>
        <v>2.9043973978806057</v>
      </c>
      <c r="G22" s="390">
        <v>1342</v>
      </c>
      <c r="H22" s="12">
        <f t="shared" si="2"/>
        <v>1.5222668390843714</v>
      </c>
      <c r="I22" s="457">
        <v>1419</v>
      </c>
      <c r="J22" s="12">
        <f aca="true" t="shared" si="5" ref="J22:J29">(I22/$I$41)*100</f>
        <v>1.7214188664596273</v>
      </c>
      <c r="K22" s="457">
        <v>1798</v>
      </c>
      <c r="L22" s="12">
        <f t="shared" si="3"/>
        <v>2.356580206299068</v>
      </c>
      <c r="M22" s="457">
        <v>1537</v>
      </c>
      <c r="N22" s="456">
        <f t="shared" si="4"/>
        <v>1.9549981556621174</v>
      </c>
    </row>
    <row r="23" spans="1:14" ht="12.75">
      <c r="A23" s="6" t="s">
        <v>35</v>
      </c>
      <c r="B23" s="7"/>
      <c r="C23" s="551" t="s">
        <v>252</v>
      </c>
      <c r="D23" s="552" t="s">
        <v>252</v>
      </c>
      <c r="E23" s="551" t="s">
        <v>252</v>
      </c>
      <c r="F23" s="552" t="s">
        <v>252</v>
      </c>
      <c r="G23" s="391">
        <v>129</v>
      </c>
      <c r="H23" s="12">
        <f t="shared" si="2"/>
        <v>0.14632818348873614</v>
      </c>
      <c r="I23" s="458">
        <v>274</v>
      </c>
      <c r="J23" s="12">
        <f t="shared" si="5"/>
        <v>0.33239518633540377</v>
      </c>
      <c r="K23" s="551" t="s">
        <v>252</v>
      </c>
      <c r="L23" s="552" t="s">
        <v>252</v>
      </c>
      <c r="M23" s="458">
        <v>136</v>
      </c>
      <c r="N23" s="456">
        <f t="shared" si="4"/>
        <v>0.17298617382566556</v>
      </c>
    </row>
    <row r="24" spans="1:14" ht="12.75">
      <c r="A24" s="6" t="s">
        <v>36</v>
      </c>
      <c r="B24" s="7"/>
      <c r="C24" s="11">
        <v>23344</v>
      </c>
      <c r="D24" s="12">
        <v>26.136707160051504</v>
      </c>
      <c r="E24" s="11">
        <v>23875</v>
      </c>
      <c r="F24" s="12">
        <f t="shared" si="1"/>
        <v>27.440636277957843</v>
      </c>
      <c r="G24" s="389">
        <v>25829</v>
      </c>
      <c r="H24" s="12">
        <f t="shared" si="2"/>
        <v>29.298532180857094</v>
      </c>
      <c r="I24" s="455">
        <v>24532</v>
      </c>
      <c r="J24" s="12">
        <f t="shared" si="5"/>
        <v>29.76028726708074</v>
      </c>
      <c r="K24" s="455">
        <v>20395</v>
      </c>
      <c r="L24" s="12">
        <f t="shared" si="3"/>
        <v>26.7310641309619</v>
      </c>
      <c r="M24" s="455">
        <v>18237</v>
      </c>
      <c r="N24" s="456">
        <f t="shared" si="4"/>
        <v>23.19668273572546</v>
      </c>
    </row>
    <row r="25" spans="1:14" ht="12.75">
      <c r="A25" s="6" t="s">
        <v>37</v>
      </c>
      <c r="B25" s="7"/>
      <c r="C25" s="13">
        <v>1551</v>
      </c>
      <c r="D25" s="12">
        <v>1.7365504114650394</v>
      </c>
      <c r="E25" s="13">
        <v>1915</v>
      </c>
      <c r="F25" s="12">
        <f t="shared" si="1"/>
        <v>2.2009976323471943</v>
      </c>
      <c r="G25" s="390">
        <v>1600</v>
      </c>
      <c r="H25" s="12">
        <f t="shared" si="2"/>
        <v>1.8149232060618434</v>
      </c>
      <c r="I25" s="457">
        <v>2008</v>
      </c>
      <c r="J25" s="12">
        <f t="shared" si="5"/>
        <v>2.435947204968944</v>
      </c>
      <c r="K25" s="457">
        <v>2088</v>
      </c>
      <c r="L25" s="12">
        <f t="shared" si="3"/>
        <v>2.736673787960208</v>
      </c>
      <c r="M25" s="457">
        <v>792</v>
      </c>
      <c r="N25" s="456">
        <f t="shared" si="4"/>
        <v>1.0073900711024053</v>
      </c>
    </row>
    <row r="26" spans="1:14" ht="12.75">
      <c r="A26" s="6" t="s">
        <v>38</v>
      </c>
      <c r="B26" s="7"/>
      <c r="C26" s="13">
        <v>87</v>
      </c>
      <c r="D26" s="12">
        <v>0.09740805015954766</v>
      </c>
      <c r="E26" s="13">
        <v>170</v>
      </c>
      <c r="F26" s="12">
        <f t="shared" si="1"/>
        <v>0.19538882375928096</v>
      </c>
      <c r="G26" s="390">
        <v>289</v>
      </c>
      <c r="H26" s="12">
        <f t="shared" si="2"/>
        <v>0.3278205040949205</v>
      </c>
      <c r="I26" s="457">
        <v>99</v>
      </c>
      <c r="J26" s="12">
        <f t="shared" si="5"/>
        <v>0.12009899068322982</v>
      </c>
      <c r="K26" s="457">
        <v>230</v>
      </c>
      <c r="L26" s="12">
        <f t="shared" si="3"/>
        <v>0.3014535302829731</v>
      </c>
      <c r="M26" s="457">
        <v>259</v>
      </c>
      <c r="N26" s="456">
        <f t="shared" si="4"/>
        <v>0.32943690456505426</v>
      </c>
    </row>
    <row r="27" spans="1:14" ht="12.75">
      <c r="A27" s="6" t="s">
        <v>39</v>
      </c>
      <c r="B27" s="7"/>
      <c r="C27" s="13">
        <v>1078</v>
      </c>
      <c r="D27" s="12">
        <v>1.2069641157700273</v>
      </c>
      <c r="E27" s="13">
        <v>1271</v>
      </c>
      <c r="F27" s="12">
        <f t="shared" si="1"/>
        <v>1.4608187941061537</v>
      </c>
      <c r="G27" s="390">
        <v>1371</v>
      </c>
      <c r="H27" s="12">
        <f t="shared" si="2"/>
        <v>1.555162322194242</v>
      </c>
      <c r="I27" s="457">
        <v>848</v>
      </c>
      <c r="J27" s="12">
        <f t="shared" si="5"/>
        <v>1.0287267080745341</v>
      </c>
      <c r="K27" s="457">
        <v>886</v>
      </c>
      <c r="L27" s="12">
        <f t="shared" si="3"/>
        <v>1.1612514253509312</v>
      </c>
      <c r="M27" s="457">
        <v>526</v>
      </c>
      <c r="N27" s="456">
        <f t="shared" si="4"/>
        <v>0.6690494664139712</v>
      </c>
    </row>
    <row r="28" spans="1:14" ht="12.75">
      <c r="A28" s="14" t="s">
        <v>40</v>
      </c>
      <c r="B28" s="7"/>
      <c r="C28" s="13">
        <v>163</v>
      </c>
      <c r="D28" s="12">
        <v>0.18250013995409506</v>
      </c>
      <c r="E28" s="13">
        <v>90</v>
      </c>
      <c r="F28" s="12">
        <f t="shared" si="1"/>
        <v>0.10344114199020757</v>
      </c>
      <c r="G28" s="390">
        <v>394</v>
      </c>
      <c r="H28" s="12">
        <f t="shared" si="2"/>
        <v>0.446924839492729</v>
      </c>
      <c r="I28" s="457">
        <v>664</v>
      </c>
      <c r="J28" s="12">
        <f t="shared" si="5"/>
        <v>0.8055124223602484</v>
      </c>
      <c r="K28" s="457">
        <v>73</v>
      </c>
      <c r="L28" s="12">
        <f t="shared" si="3"/>
        <v>0.09567872917676973</v>
      </c>
      <c r="M28" s="457">
        <v>595</v>
      </c>
      <c r="N28" s="456">
        <f t="shared" si="4"/>
        <v>0.7568145104872869</v>
      </c>
    </row>
    <row r="29" spans="1:14" ht="12.75">
      <c r="A29" s="14" t="s">
        <v>27</v>
      </c>
      <c r="B29" s="7"/>
      <c r="C29" s="13">
        <v>656</v>
      </c>
      <c r="D29" s="12">
        <v>0.7344790908581985</v>
      </c>
      <c r="E29" s="13">
        <v>442</v>
      </c>
      <c r="F29" s="12">
        <f t="shared" si="1"/>
        <v>0.5080109417741305</v>
      </c>
      <c r="G29" s="390">
        <v>374</v>
      </c>
      <c r="H29" s="12">
        <f t="shared" si="2"/>
        <v>0.42423829941695596</v>
      </c>
      <c r="I29" s="457">
        <v>1241</v>
      </c>
      <c r="J29" s="12">
        <f t="shared" si="5"/>
        <v>1.5054833074534162</v>
      </c>
      <c r="K29" s="457">
        <f>170+665-2</f>
        <v>833</v>
      </c>
      <c r="L29" s="12">
        <f t="shared" si="3"/>
        <v>1.0917860466335505</v>
      </c>
      <c r="M29" s="457">
        <f>75+77+1616+3</f>
        <v>1771</v>
      </c>
      <c r="N29" s="456">
        <f t="shared" si="4"/>
        <v>2.252636131215101</v>
      </c>
    </row>
    <row r="30" spans="1:14" ht="12.75">
      <c r="A30" s="14"/>
      <c r="B30" s="7"/>
      <c r="C30" s="13"/>
      <c r="D30" s="12"/>
      <c r="E30" s="13"/>
      <c r="F30" s="12">
        <f t="shared" si="1"/>
        <v>0</v>
      </c>
      <c r="G30" s="390"/>
      <c r="H30" s="12"/>
      <c r="I30" s="457"/>
      <c r="J30" s="12"/>
      <c r="K30" s="457"/>
      <c r="L30" s="12"/>
      <c r="M30" s="457"/>
      <c r="N30" s="456"/>
    </row>
    <row r="31" spans="1:14" ht="15" customHeight="1">
      <c r="A31" s="10" t="s">
        <v>41</v>
      </c>
      <c r="B31" s="7"/>
      <c r="C31" s="11">
        <v>30835</v>
      </c>
      <c r="D31" s="12">
        <v>34.523876168616695</v>
      </c>
      <c r="E31" s="11">
        <v>27893</v>
      </c>
      <c r="F31" s="12">
        <f t="shared" si="1"/>
        <v>32.05870859480955</v>
      </c>
      <c r="G31" s="389">
        <f>SUM(G32:G40)</f>
        <v>27885</v>
      </c>
      <c r="H31" s="12">
        <f t="shared" si="2"/>
        <v>31.630708500646566</v>
      </c>
      <c r="I31" s="455">
        <f>SUM(I32:I40)</f>
        <v>26381</v>
      </c>
      <c r="J31" s="12">
        <f>(I31/$I$41)*100</f>
        <v>32.003348214285715</v>
      </c>
      <c r="K31" s="455">
        <f>SUM(K32:K40)</f>
        <v>20382</v>
      </c>
      <c r="L31" s="12">
        <f t="shared" si="3"/>
        <v>26.7140254531633</v>
      </c>
      <c r="M31" s="455">
        <f>SUM(M32:M40)</f>
        <v>25525</v>
      </c>
      <c r="N31" s="456">
        <f>(M31/$M$41)*100</f>
        <v>32.46670652132436</v>
      </c>
    </row>
    <row r="32" spans="1:14" ht="12.75">
      <c r="A32" s="6" t="s">
        <v>42</v>
      </c>
      <c r="B32" s="7"/>
      <c r="C32" s="551" t="s">
        <v>252</v>
      </c>
      <c r="D32" s="552" t="s">
        <v>252</v>
      </c>
      <c r="E32" s="551" t="s">
        <v>252</v>
      </c>
      <c r="F32" s="552" t="s">
        <v>252</v>
      </c>
      <c r="G32" s="551" t="s">
        <v>252</v>
      </c>
      <c r="H32" s="12" t="s">
        <v>252</v>
      </c>
      <c r="I32" s="551" t="s">
        <v>252</v>
      </c>
      <c r="J32" s="12" t="s">
        <v>252</v>
      </c>
      <c r="K32" s="551" t="s">
        <v>252</v>
      </c>
      <c r="L32" s="12" t="s">
        <v>252</v>
      </c>
      <c r="M32" s="551" t="s">
        <v>252</v>
      </c>
      <c r="N32" s="456" t="s">
        <v>252</v>
      </c>
    </row>
    <row r="33" spans="1:14" ht="12.75">
      <c r="A33" s="6" t="s">
        <v>43</v>
      </c>
      <c r="B33" s="7"/>
      <c r="C33" s="13">
        <v>12586</v>
      </c>
      <c r="D33" s="12">
        <v>14.09169792308123</v>
      </c>
      <c r="E33" s="13">
        <v>10173</v>
      </c>
      <c r="F33" s="12">
        <f t="shared" si="1"/>
        <v>11.692297082959795</v>
      </c>
      <c r="G33" s="390">
        <v>7987</v>
      </c>
      <c r="H33" s="12">
        <f t="shared" si="2"/>
        <v>9.059869779259964</v>
      </c>
      <c r="I33" s="457">
        <v>7839</v>
      </c>
      <c r="J33" s="12">
        <f>(I33/$I$41)*100</f>
        <v>9.50965644409938</v>
      </c>
      <c r="K33" s="457">
        <v>4641</v>
      </c>
      <c r="L33" s="12">
        <f t="shared" si="3"/>
        <v>6.08280797410121</v>
      </c>
      <c r="M33" s="457">
        <v>5592</v>
      </c>
      <c r="N33" s="456">
        <f>(M33/$M$41)*100</f>
        <v>7.112784441420013</v>
      </c>
    </row>
    <row r="34" spans="1:14" ht="12.75">
      <c r="A34" s="6" t="s">
        <v>44</v>
      </c>
      <c r="B34" s="7"/>
      <c r="C34" s="551" t="s">
        <v>252</v>
      </c>
      <c r="D34" s="552" t="s">
        <v>252</v>
      </c>
      <c r="E34" s="551" t="s">
        <v>252</v>
      </c>
      <c r="F34" s="552" t="s">
        <v>252</v>
      </c>
      <c r="G34" s="389">
        <v>69</v>
      </c>
      <c r="H34" s="12">
        <f t="shared" si="2"/>
        <v>0.078268563261417</v>
      </c>
      <c r="I34" s="551" t="s">
        <v>252</v>
      </c>
      <c r="J34" s="12" t="s">
        <v>252</v>
      </c>
      <c r="K34" s="551" t="s">
        <v>252</v>
      </c>
      <c r="L34" s="12" t="s">
        <v>252</v>
      </c>
      <c r="M34" s="551" t="s">
        <v>252</v>
      </c>
      <c r="N34" s="456" t="s">
        <v>252</v>
      </c>
    </row>
    <row r="35" spans="1:14" ht="12.75">
      <c r="A35" s="6" t="s">
        <v>45</v>
      </c>
      <c r="B35" s="7"/>
      <c r="C35" s="13">
        <v>273</v>
      </c>
      <c r="D35" s="12">
        <v>0.3056597436040978</v>
      </c>
      <c r="E35" s="13">
        <v>62</v>
      </c>
      <c r="F35" s="12">
        <f t="shared" si="1"/>
        <v>0.07125945337103189</v>
      </c>
      <c r="G35" s="390">
        <v>41</v>
      </c>
      <c r="H35" s="12">
        <f t="shared" si="2"/>
        <v>0.04650740715533474</v>
      </c>
      <c r="I35" s="551" t="s">
        <v>252</v>
      </c>
      <c r="J35" s="12" t="s">
        <v>252</v>
      </c>
      <c r="K35" s="551" t="s">
        <v>252</v>
      </c>
      <c r="L35" s="12" t="s">
        <v>252</v>
      </c>
      <c r="M35" s="551" t="s">
        <v>252</v>
      </c>
      <c r="N35" s="456" t="s">
        <v>252</v>
      </c>
    </row>
    <row r="36" spans="1:14" ht="12.75">
      <c r="A36" s="6" t="s">
        <v>46</v>
      </c>
      <c r="B36" s="7"/>
      <c r="C36" s="13">
        <v>9559</v>
      </c>
      <c r="D36" s="12">
        <v>10.702569557185242</v>
      </c>
      <c r="E36" s="13">
        <v>9564</v>
      </c>
      <c r="F36" s="12">
        <f t="shared" si="1"/>
        <v>10.992345355492725</v>
      </c>
      <c r="G36" s="390">
        <v>9579</v>
      </c>
      <c r="H36" s="12">
        <f t="shared" si="2"/>
        <v>10.8657183692915</v>
      </c>
      <c r="I36" s="457">
        <v>7991</v>
      </c>
      <c r="J36" s="12">
        <f>(I36/$I$41)*100</f>
        <v>9.694050854037267</v>
      </c>
      <c r="K36" s="457">
        <v>5658</v>
      </c>
      <c r="L36" s="12">
        <f t="shared" si="3"/>
        <v>7.415756844961138</v>
      </c>
      <c r="M36" s="457">
        <v>10242</v>
      </c>
      <c r="N36" s="456">
        <f>(M36/$M$41)*100</f>
        <v>13.027385237665195</v>
      </c>
    </row>
    <row r="37" spans="1:14" ht="12.75">
      <c r="A37" s="6" t="s">
        <v>47</v>
      </c>
      <c r="B37" s="7"/>
      <c r="C37" s="11">
        <v>5855</v>
      </c>
      <c r="D37" s="12">
        <v>6.555449812461513</v>
      </c>
      <c r="E37" s="11">
        <v>6801</v>
      </c>
      <c r="F37" s="12">
        <f t="shared" si="1"/>
        <v>7.816702296393352</v>
      </c>
      <c r="G37" s="389">
        <v>8456</v>
      </c>
      <c r="H37" s="12">
        <f t="shared" si="2"/>
        <v>9.591869144036842</v>
      </c>
      <c r="I37" s="455">
        <v>8869</v>
      </c>
      <c r="J37" s="12">
        <f>(I37/$I$41)*100</f>
        <v>10.759171195652174</v>
      </c>
      <c r="K37" s="455">
        <v>8849</v>
      </c>
      <c r="L37" s="12">
        <f t="shared" si="3"/>
        <v>11.598096910756649</v>
      </c>
      <c r="M37" s="455">
        <v>7221</v>
      </c>
      <c r="N37" s="456">
        <f>(M37/$M$41)*100</f>
        <v>9.184802655846552</v>
      </c>
    </row>
    <row r="38" spans="1:14" ht="12.75">
      <c r="A38" s="6" t="s">
        <v>48</v>
      </c>
      <c r="B38" s="7"/>
      <c r="C38" s="551" t="s">
        <v>252</v>
      </c>
      <c r="D38" s="552" t="s">
        <v>252</v>
      </c>
      <c r="E38" s="551" t="s">
        <v>252</v>
      </c>
      <c r="F38" s="552" t="s">
        <v>252</v>
      </c>
      <c r="G38" s="551" t="s">
        <v>252</v>
      </c>
      <c r="H38" s="12" t="s">
        <v>252</v>
      </c>
      <c r="I38" s="551" t="s">
        <v>252</v>
      </c>
      <c r="J38" s="12" t="s">
        <v>252</v>
      </c>
      <c r="K38" s="551" t="s">
        <v>252</v>
      </c>
      <c r="L38" s="12" t="s">
        <v>252</v>
      </c>
      <c r="M38" s="551" t="s">
        <v>252</v>
      </c>
      <c r="N38" s="456" t="s">
        <v>252</v>
      </c>
    </row>
    <row r="39" spans="1:14" ht="12.75">
      <c r="A39" s="6" t="s">
        <v>49</v>
      </c>
      <c r="B39" s="7"/>
      <c r="C39" s="13">
        <v>2562</v>
      </c>
      <c r="D39" s="12">
        <v>2.8684991322846107</v>
      </c>
      <c r="E39" s="13">
        <v>1293</v>
      </c>
      <c r="F39" s="12">
        <f t="shared" si="1"/>
        <v>1.4861044065926488</v>
      </c>
      <c r="G39" s="390">
        <v>1753</v>
      </c>
      <c r="H39" s="12">
        <f t="shared" si="2"/>
        <v>1.9884752376415071</v>
      </c>
      <c r="I39" s="457">
        <v>1682</v>
      </c>
      <c r="J39" s="12">
        <f>(I39/$I$41)*100</f>
        <v>2.0404697204968945</v>
      </c>
      <c r="K39" s="457">
        <v>1234</v>
      </c>
      <c r="L39" s="12">
        <f t="shared" si="3"/>
        <v>1.6173637233442992</v>
      </c>
      <c r="M39" s="457">
        <v>2470</v>
      </c>
      <c r="N39" s="456">
        <f>(M39/$M$41)*100</f>
        <v>3.1417341863926023</v>
      </c>
    </row>
    <row r="40" spans="1:14" ht="12.75">
      <c r="A40" s="6" t="s">
        <v>50</v>
      </c>
      <c r="B40" s="7"/>
      <c r="C40" s="551" t="s">
        <v>252</v>
      </c>
      <c r="D40" s="552" t="s">
        <v>252</v>
      </c>
      <c r="E40" s="551" t="s">
        <v>252</v>
      </c>
      <c r="F40" s="552" t="s">
        <v>252</v>
      </c>
      <c r="G40" s="551" t="s">
        <v>252</v>
      </c>
      <c r="H40" s="12" t="s">
        <v>252</v>
      </c>
      <c r="I40" s="551" t="s">
        <v>252</v>
      </c>
      <c r="J40" s="12" t="s">
        <v>252</v>
      </c>
      <c r="K40" s="551" t="s">
        <v>252</v>
      </c>
      <c r="L40" s="12" t="s">
        <v>252</v>
      </c>
      <c r="M40" s="551" t="s">
        <v>252</v>
      </c>
      <c r="N40" s="456" t="s">
        <v>252</v>
      </c>
    </row>
    <row r="41" spans="1:14" ht="18.75" customHeight="1">
      <c r="A41" s="15" t="s">
        <v>51</v>
      </c>
      <c r="B41" s="329"/>
      <c r="C41" s="11">
        <v>89315</v>
      </c>
      <c r="D41" s="12">
        <v>100</v>
      </c>
      <c r="E41" s="11">
        <v>87006</v>
      </c>
      <c r="F41" s="12">
        <f t="shared" si="1"/>
        <v>100</v>
      </c>
      <c r="G41" s="389">
        <f>SUM(G5+G14+G19+G31)</f>
        <v>88158</v>
      </c>
      <c r="H41" s="12">
        <f t="shared" si="2"/>
        <v>100</v>
      </c>
      <c r="I41" s="455">
        <f>SUM(I5+I14+I19+I31)</f>
        <v>82432</v>
      </c>
      <c r="J41" s="12">
        <f>(I41/$I$41)*100</f>
        <v>100</v>
      </c>
      <c r="K41" s="455">
        <f>SUM(K5+K14+K19+K31)</f>
        <v>76297</v>
      </c>
      <c r="L41" s="12">
        <f t="shared" si="3"/>
        <v>100</v>
      </c>
      <c r="M41" s="455">
        <f>SUM(M5+M14+M19+M31)</f>
        <v>78619</v>
      </c>
      <c r="N41" s="456">
        <f>(M41/$M$41)*100</f>
        <v>100</v>
      </c>
    </row>
    <row r="42" spans="1:14" ht="19.5" customHeight="1" thickBot="1">
      <c r="A42" s="16" t="s">
        <v>52</v>
      </c>
      <c r="B42" s="7"/>
      <c r="C42" s="13">
        <v>85320</v>
      </c>
      <c r="D42" s="12">
        <v>95.52706712198399</v>
      </c>
      <c r="E42" s="13">
        <v>83369</v>
      </c>
      <c r="F42" s="12">
        <f t="shared" si="1"/>
        <v>95.8198285175735</v>
      </c>
      <c r="G42" s="460">
        <v>85957</v>
      </c>
      <c r="H42" s="12">
        <f>(G42/$G$41)*100</f>
        <v>97.50334626466118</v>
      </c>
      <c r="I42" s="461">
        <v>79596</v>
      </c>
      <c r="J42" s="12">
        <f>(I42/$I$41)*100</f>
        <v>96.55958850931677</v>
      </c>
      <c r="K42" s="461">
        <v>68833</v>
      </c>
      <c r="L42" s="12">
        <f t="shared" si="3"/>
        <v>90.21717760855604</v>
      </c>
      <c r="M42" s="461">
        <v>72239</v>
      </c>
      <c r="N42" s="459">
        <f>(M42/$M$41)*100</f>
        <v>91.88491331611951</v>
      </c>
    </row>
    <row r="43" spans="1:14" ht="13.5" thickTop="1">
      <c r="A43" s="17"/>
      <c r="B43" s="18"/>
      <c r="C43" s="21"/>
      <c r="D43" s="20"/>
      <c r="E43" s="21"/>
      <c r="F43" s="22"/>
      <c r="G43" s="19"/>
      <c r="H43" s="22"/>
      <c r="I43" s="21"/>
      <c r="J43" s="22"/>
      <c r="K43" s="229"/>
      <c r="L43" s="22"/>
      <c r="N43" s="376"/>
    </row>
    <row r="44" spans="2:8" ht="12.75">
      <c r="B44" s="23"/>
      <c r="C44" s="24"/>
      <c r="D44" s="23"/>
      <c r="E44" s="24"/>
      <c r="F44" s="25"/>
      <c r="G44" s="24"/>
      <c r="H44" s="25"/>
    </row>
    <row r="45" spans="1:2" ht="12.75">
      <c r="A45" s="23"/>
      <c r="B45" s="23"/>
    </row>
  </sheetData>
  <sheetProtection/>
  <mergeCells count="2">
    <mergeCell ref="A1:N1"/>
    <mergeCell ref="A2:N2"/>
  </mergeCells>
  <printOptions horizontalCentered="1" verticalCentered="1"/>
  <pageMargins left="0.1968503937007874" right="0.1968503937007874" top="0.3937007874015748" bottom="0.3937007874015748" header="0.5118110236220472" footer="0.5118110236220472"/>
  <pageSetup fitToHeight="1" fitToWidth="1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A1:N60"/>
  <sheetViews>
    <sheetView showGridLines="0" showZeros="0" zoomScale="75" zoomScaleNormal="75" zoomScalePageLayoutView="0" workbookViewId="0" topLeftCell="A1">
      <selection activeCell="C4" sqref="C4"/>
    </sheetView>
  </sheetViews>
  <sheetFormatPr defaultColWidth="10.28125" defaultRowHeight="12.75"/>
  <cols>
    <col min="1" max="2" width="10.28125" style="319" customWidth="1"/>
    <col min="3" max="14" width="6.421875" style="319" customWidth="1"/>
    <col min="15" max="16384" width="10.28125" style="319" customWidth="1"/>
  </cols>
  <sheetData>
    <row r="1" spans="1:14" ht="12.75">
      <c r="A1" s="585" t="s">
        <v>56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</row>
    <row r="2" spans="1:14" ht="13.5" thickBot="1">
      <c r="A2" s="586" t="s">
        <v>15</v>
      </c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</row>
    <row r="3" spans="1:14" ht="19.5" customHeight="1" thickTop="1">
      <c r="A3" s="204" t="s">
        <v>57</v>
      </c>
      <c r="B3" s="205"/>
      <c r="C3" s="589" t="s">
        <v>243</v>
      </c>
      <c r="D3" s="590"/>
      <c r="E3" s="589">
        <v>2006</v>
      </c>
      <c r="F3" s="590"/>
      <c r="G3" s="589">
        <v>2007</v>
      </c>
      <c r="H3" s="590"/>
      <c r="I3" s="589">
        <v>2008</v>
      </c>
      <c r="J3" s="590"/>
      <c r="K3" s="587">
        <v>2009</v>
      </c>
      <c r="L3" s="588"/>
      <c r="M3" s="587">
        <v>2010</v>
      </c>
      <c r="N3" s="588"/>
    </row>
    <row r="4" spans="1:14" ht="15" customHeight="1">
      <c r="A4" s="208"/>
      <c r="B4" s="209"/>
      <c r="C4" s="8" t="s">
        <v>58</v>
      </c>
      <c r="D4" s="9" t="s">
        <v>59</v>
      </c>
      <c r="E4" s="8" t="s">
        <v>58</v>
      </c>
      <c r="F4" s="9" t="s">
        <v>59</v>
      </c>
      <c r="G4" s="392" t="s">
        <v>58</v>
      </c>
      <c r="H4" s="393" t="s">
        <v>59</v>
      </c>
      <c r="I4" s="462" t="s">
        <v>58</v>
      </c>
      <c r="J4" s="463" t="s">
        <v>59</v>
      </c>
      <c r="K4" s="462" t="s">
        <v>58</v>
      </c>
      <c r="L4" s="463" t="s">
        <v>59</v>
      </c>
      <c r="M4" s="462" t="s">
        <v>58</v>
      </c>
      <c r="N4" s="463" t="s">
        <v>59</v>
      </c>
    </row>
    <row r="5" spans="1:14" ht="15" customHeight="1">
      <c r="A5" s="210" t="s">
        <v>19</v>
      </c>
      <c r="B5" s="209"/>
      <c r="C5" s="11">
        <v>4426</v>
      </c>
      <c r="D5" s="395">
        <f>(C5/C$49)*100</f>
        <v>75.60642295866074</v>
      </c>
      <c r="E5" s="11">
        <v>4703</v>
      </c>
      <c r="F5" s="395">
        <f>(E5/E$49)*100</f>
        <v>74.25007893905905</v>
      </c>
      <c r="G5" s="394">
        <f>SUM(G6:G21)</f>
        <v>5555</v>
      </c>
      <c r="H5" s="395">
        <f>(G5/G$49)*100</f>
        <v>73.47883597883597</v>
      </c>
      <c r="I5" s="464">
        <f>SUM(I6:I21)</f>
        <v>5623</v>
      </c>
      <c r="J5" s="465">
        <f aca="true" t="shared" si="0" ref="J5:J26">(I5/I$49)*100</f>
        <v>79.60079275198187</v>
      </c>
      <c r="K5" s="464">
        <f>SUM(K6:K21)</f>
        <v>5076</v>
      </c>
      <c r="L5" s="465">
        <f>(K5/K$49)*100</f>
        <v>83.51431391905231</v>
      </c>
      <c r="M5" s="464">
        <f>SUM(M6:M21)</f>
        <v>6069</v>
      </c>
      <c r="N5" s="465">
        <f>(M5/M$49)*100</f>
        <v>88.5080939186233</v>
      </c>
    </row>
    <row r="6" spans="1:14" ht="15" customHeight="1">
      <c r="A6" s="211" t="s">
        <v>74</v>
      </c>
      <c r="B6" s="209"/>
      <c r="C6" s="13">
        <v>119</v>
      </c>
      <c r="D6" s="395">
        <f>(C6/C$49)*100</f>
        <v>2.0327980867782713</v>
      </c>
      <c r="E6" s="13">
        <v>77</v>
      </c>
      <c r="F6" s="395">
        <f>(E6/E$49)*100</f>
        <v>1.2156615093148089</v>
      </c>
      <c r="G6" s="396">
        <v>33</v>
      </c>
      <c r="H6" s="395">
        <f>(G6/G$49)*100</f>
        <v>0.4365079365079365</v>
      </c>
      <c r="I6" s="551" t="s">
        <v>252</v>
      </c>
      <c r="J6" s="553" t="s">
        <v>252</v>
      </c>
      <c r="K6" s="551" t="s">
        <v>252</v>
      </c>
      <c r="L6" s="553" t="s">
        <v>252</v>
      </c>
      <c r="M6" s="13">
        <v>15</v>
      </c>
      <c r="N6" s="465">
        <f>(M6/M$49)*100</f>
        <v>0.2187545573866122</v>
      </c>
    </row>
    <row r="7" spans="1:14" ht="15" customHeight="1">
      <c r="A7" s="211" t="s">
        <v>75</v>
      </c>
      <c r="B7" s="209"/>
      <c r="C7" s="13">
        <v>50</v>
      </c>
      <c r="D7" s="395">
        <f>(C7/C$49)*100</f>
        <v>0.8541168431841476</v>
      </c>
      <c r="E7" s="13">
        <v>1</v>
      </c>
      <c r="F7" s="395">
        <f>(E7/E$49)*100</f>
        <v>0.015787811809283233</v>
      </c>
      <c r="G7" s="551" t="s">
        <v>252</v>
      </c>
      <c r="H7" s="553" t="s">
        <v>252</v>
      </c>
      <c r="I7" s="551" t="s">
        <v>252</v>
      </c>
      <c r="J7" s="553" t="s">
        <v>252</v>
      </c>
      <c r="K7" s="551" t="s">
        <v>252</v>
      </c>
      <c r="L7" s="553" t="s">
        <v>252</v>
      </c>
      <c r="M7" s="551" t="s">
        <v>252</v>
      </c>
      <c r="N7" s="553" t="s">
        <v>252</v>
      </c>
    </row>
    <row r="8" spans="1:14" ht="12.75">
      <c r="A8" s="211" t="s">
        <v>55</v>
      </c>
      <c r="B8" s="209"/>
      <c r="C8" s="13">
        <v>5</v>
      </c>
      <c r="D8" s="395">
        <f>(C8/C$49)*100</f>
        <v>0.08541168431841477</v>
      </c>
      <c r="E8" s="13">
        <v>128</v>
      </c>
      <c r="F8" s="395">
        <f>(E8/E$49)*100</f>
        <v>2.020839911588254</v>
      </c>
      <c r="G8" s="396">
        <v>102</v>
      </c>
      <c r="H8" s="395">
        <f>(G8/G$49)*100</f>
        <v>1.3492063492063493</v>
      </c>
      <c r="I8" s="13">
        <v>55</v>
      </c>
      <c r="J8" s="465">
        <f t="shared" si="0"/>
        <v>0.7785956964892413</v>
      </c>
      <c r="K8" s="13">
        <v>24</v>
      </c>
      <c r="L8" s="465">
        <f>(K8/K$49)*100</f>
        <v>0.3948667324777887</v>
      </c>
      <c r="M8" s="13">
        <v>10</v>
      </c>
      <c r="N8" s="465">
        <f>(M8/M$49)*100</f>
        <v>0.14583637159107482</v>
      </c>
    </row>
    <row r="9" spans="1:14" ht="12.75">
      <c r="A9" s="211" t="s">
        <v>53</v>
      </c>
      <c r="B9" s="209"/>
      <c r="C9" s="551" t="s">
        <v>252</v>
      </c>
      <c r="D9" s="553" t="s">
        <v>252</v>
      </c>
      <c r="E9" s="551" t="s">
        <v>252</v>
      </c>
      <c r="F9" s="553" t="s">
        <v>252</v>
      </c>
      <c r="G9" s="551" t="s">
        <v>252</v>
      </c>
      <c r="H9" s="553" t="s">
        <v>252</v>
      </c>
      <c r="I9" s="551" t="s">
        <v>252</v>
      </c>
      <c r="J9" s="553" t="s">
        <v>252</v>
      </c>
      <c r="K9" s="551" t="s">
        <v>252</v>
      </c>
      <c r="L9" s="553" t="s">
        <v>252</v>
      </c>
      <c r="M9" s="551" t="s">
        <v>252</v>
      </c>
      <c r="N9" s="553" t="s">
        <v>252</v>
      </c>
    </row>
    <row r="10" spans="1:14" ht="12.75">
      <c r="A10" s="211" t="s">
        <v>60</v>
      </c>
      <c r="B10" s="209"/>
      <c r="C10" s="13">
        <v>18</v>
      </c>
      <c r="D10" s="395">
        <f>(C10/C$49)*100</f>
        <v>0.30748206354629315</v>
      </c>
      <c r="E10" s="551" t="s">
        <v>252</v>
      </c>
      <c r="F10" s="553" t="s">
        <v>252</v>
      </c>
      <c r="G10" s="396">
        <v>57</v>
      </c>
      <c r="H10" s="395">
        <f>(G10/G$49)*100</f>
        <v>0.753968253968254</v>
      </c>
      <c r="I10" s="551" t="s">
        <v>252</v>
      </c>
      <c r="J10" s="553" t="s">
        <v>252</v>
      </c>
      <c r="K10" s="13">
        <v>77</v>
      </c>
      <c r="L10" s="465">
        <f>(K10/K$49)*100</f>
        <v>1.2668641000329055</v>
      </c>
      <c r="M10" s="13">
        <v>218</v>
      </c>
      <c r="N10" s="465">
        <f>(M10/M$49)*100</f>
        <v>3.179232900685431</v>
      </c>
    </row>
    <row r="11" spans="1:14" ht="12.75">
      <c r="A11" s="211" t="s">
        <v>170</v>
      </c>
      <c r="B11" s="209"/>
      <c r="C11" s="551" t="s">
        <v>252</v>
      </c>
      <c r="D11" s="553" t="s">
        <v>252</v>
      </c>
      <c r="E11" s="551" t="s">
        <v>252</v>
      </c>
      <c r="F11" s="553" t="s">
        <v>252</v>
      </c>
      <c r="G11" s="551" t="s">
        <v>252</v>
      </c>
      <c r="H11" s="553" t="s">
        <v>252</v>
      </c>
      <c r="I11" s="13">
        <v>33</v>
      </c>
      <c r="J11" s="465">
        <f t="shared" si="0"/>
        <v>0.46715741789354476</v>
      </c>
      <c r="K11" s="551" t="s">
        <v>252</v>
      </c>
      <c r="L11" s="553" t="s">
        <v>252</v>
      </c>
      <c r="M11" s="551" t="s">
        <v>252</v>
      </c>
      <c r="N11" s="553" t="s">
        <v>252</v>
      </c>
    </row>
    <row r="12" spans="1:14" ht="12.75">
      <c r="A12" s="211" t="s">
        <v>72</v>
      </c>
      <c r="B12" s="209"/>
      <c r="C12" s="551" t="s">
        <v>252</v>
      </c>
      <c r="D12" s="553" t="s">
        <v>252</v>
      </c>
      <c r="E12" s="11">
        <v>24</v>
      </c>
      <c r="F12" s="395">
        <f aca="true" t="shared" si="1" ref="F12:F28">(E12/E$49)*100</f>
        <v>0.3789074834227976</v>
      </c>
      <c r="G12" s="551" t="s">
        <v>252</v>
      </c>
      <c r="H12" s="553" t="s">
        <v>252</v>
      </c>
      <c r="I12" s="551" t="s">
        <v>252</v>
      </c>
      <c r="J12" s="553" t="s">
        <v>252</v>
      </c>
      <c r="K12" s="11">
        <v>64</v>
      </c>
      <c r="L12" s="465">
        <f>(K12/K$49)*100</f>
        <v>1.0529779532741033</v>
      </c>
      <c r="M12" s="551" t="s">
        <v>252</v>
      </c>
      <c r="N12" s="553" t="s">
        <v>252</v>
      </c>
    </row>
    <row r="13" spans="1:14" ht="12.75">
      <c r="A13" s="211" t="s">
        <v>61</v>
      </c>
      <c r="B13" s="212"/>
      <c r="C13" s="13">
        <v>20</v>
      </c>
      <c r="D13" s="395">
        <f>(C13/C$49)*100</f>
        <v>0.3416467372736591</v>
      </c>
      <c r="E13" s="13">
        <v>3</v>
      </c>
      <c r="F13" s="395">
        <f t="shared" si="1"/>
        <v>0.0473634354278497</v>
      </c>
      <c r="G13" s="551" t="s">
        <v>252</v>
      </c>
      <c r="H13" s="553" t="s">
        <v>252</v>
      </c>
      <c r="I13" s="13">
        <v>16</v>
      </c>
      <c r="J13" s="465">
        <f t="shared" si="0"/>
        <v>0.22650056625141565</v>
      </c>
      <c r="K13" s="13">
        <v>30</v>
      </c>
      <c r="L13" s="465">
        <f>(K13/K$49)*100</f>
        <v>0.4935834155972359</v>
      </c>
      <c r="M13" s="13">
        <v>26</v>
      </c>
      <c r="N13" s="465">
        <f>(M13/M$49)*100</f>
        <v>0.3791745661367945</v>
      </c>
    </row>
    <row r="14" spans="1:14" ht="12.75">
      <c r="A14" s="211" t="s">
        <v>62</v>
      </c>
      <c r="B14" s="209"/>
      <c r="C14" s="551" t="s">
        <v>252</v>
      </c>
      <c r="D14" s="553" t="s">
        <v>252</v>
      </c>
      <c r="E14" s="13">
        <v>126</v>
      </c>
      <c r="F14" s="395">
        <f t="shared" si="1"/>
        <v>1.9892642879696874</v>
      </c>
      <c r="G14" s="396">
        <v>65</v>
      </c>
      <c r="H14" s="395">
        <f aca="true" t="shared" si="2" ref="H14:H26">(G14/G$49)*100</f>
        <v>0.8597883597883598</v>
      </c>
      <c r="I14" s="13">
        <v>27</v>
      </c>
      <c r="J14" s="465">
        <f t="shared" si="0"/>
        <v>0.3822197055492639</v>
      </c>
      <c r="K14" s="13">
        <v>32</v>
      </c>
      <c r="L14" s="465">
        <f>(K14/K$49)*100</f>
        <v>0.5264889766370516</v>
      </c>
      <c r="M14" s="13">
        <v>36</v>
      </c>
      <c r="N14" s="465">
        <f>(M14/M$49)*100</f>
        <v>0.5250109377278693</v>
      </c>
    </row>
    <row r="15" spans="1:14" ht="12.75">
      <c r="A15" s="211" t="s">
        <v>63</v>
      </c>
      <c r="B15" s="209"/>
      <c r="C15" s="551" t="s">
        <v>252</v>
      </c>
      <c r="D15" s="553" t="s">
        <v>252</v>
      </c>
      <c r="E15" s="13"/>
      <c r="F15" s="395">
        <f t="shared" si="1"/>
        <v>0</v>
      </c>
      <c r="G15" s="396">
        <v>33</v>
      </c>
      <c r="H15" s="395">
        <f t="shared" si="2"/>
        <v>0.4365079365079365</v>
      </c>
      <c r="I15" s="13">
        <v>47</v>
      </c>
      <c r="J15" s="465">
        <f t="shared" si="0"/>
        <v>0.6653454133635334</v>
      </c>
      <c r="K15" s="551" t="s">
        <v>252</v>
      </c>
      <c r="L15" s="553" t="s">
        <v>252</v>
      </c>
      <c r="M15" s="551" t="s">
        <v>252</v>
      </c>
      <c r="N15" s="553" t="s">
        <v>252</v>
      </c>
    </row>
    <row r="16" spans="1:14" ht="12.75">
      <c r="A16" s="211" t="s">
        <v>64</v>
      </c>
      <c r="B16" s="209"/>
      <c r="C16" s="13">
        <v>386</v>
      </c>
      <c r="D16" s="395">
        <f>(C16/C$49)*100</f>
        <v>6.593782029381619</v>
      </c>
      <c r="E16" s="13">
        <v>614</v>
      </c>
      <c r="F16" s="395">
        <f t="shared" si="1"/>
        <v>9.693716450899906</v>
      </c>
      <c r="G16" s="396">
        <v>177</v>
      </c>
      <c r="H16" s="395">
        <f t="shared" si="2"/>
        <v>2.3412698412698414</v>
      </c>
      <c r="I16" s="13">
        <v>754</v>
      </c>
      <c r="J16" s="465">
        <f t="shared" si="0"/>
        <v>10.673839184597963</v>
      </c>
      <c r="K16" s="13">
        <v>61</v>
      </c>
      <c r="L16" s="465">
        <f aca="true" t="shared" si="3" ref="L16:L24">(K16/K$49)*100</f>
        <v>1.0036196117143796</v>
      </c>
      <c r="M16" s="13">
        <v>114</v>
      </c>
      <c r="N16" s="465">
        <f aca="true" t="shared" si="4" ref="N16:N23">(M16/M$49)*100</f>
        <v>1.6625346361382527</v>
      </c>
    </row>
    <row r="17" spans="1:14" ht="12.75">
      <c r="A17" s="211" t="s">
        <v>65</v>
      </c>
      <c r="B17" s="209"/>
      <c r="C17" s="11">
        <v>35</v>
      </c>
      <c r="D17" s="395">
        <f>(C17/C$49)*100</f>
        <v>0.5978817902289033</v>
      </c>
      <c r="E17" s="11">
        <v>152</v>
      </c>
      <c r="F17" s="395">
        <f t="shared" si="1"/>
        <v>2.3997473950110515</v>
      </c>
      <c r="G17" s="397">
        <v>100</v>
      </c>
      <c r="H17" s="395">
        <f t="shared" si="2"/>
        <v>1.3227513227513228</v>
      </c>
      <c r="I17" s="11">
        <v>88</v>
      </c>
      <c r="J17" s="465">
        <f t="shared" si="0"/>
        <v>1.245753114382786</v>
      </c>
      <c r="K17" s="11">
        <f>567+8</f>
        <v>575</v>
      </c>
      <c r="L17" s="465">
        <f t="shared" si="3"/>
        <v>9.460348798947022</v>
      </c>
      <c r="M17" s="11">
        <f>33+28+15+3+708</f>
        <v>787</v>
      </c>
      <c r="N17" s="465">
        <f t="shared" si="4"/>
        <v>11.477322444217588</v>
      </c>
    </row>
    <row r="18" spans="1:14" ht="12.75">
      <c r="A18" s="211" t="s">
        <v>66</v>
      </c>
      <c r="B18" s="209"/>
      <c r="C18" s="13">
        <v>2884</v>
      </c>
      <c r="D18" s="395">
        <f>(C18/C$49)*100</f>
        <v>49.26545951486163</v>
      </c>
      <c r="E18" s="13">
        <v>3107</v>
      </c>
      <c r="F18" s="395">
        <f t="shared" si="1"/>
        <v>49.05273129144301</v>
      </c>
      <c r="G18" s="396">
        <v>4387</v>
      </c>
      <c r="H18" s="395">
        <f t="shared" si="2"/>
        <v>58.02910052910053</v>
      </c>
      <c r="I18" s="13">
        <v>3904</v>
      </c>
      <c r="J18" s="465">
        <f t="shared" si="0"/>
        <v>55.26613816534541</v>
      </c>
      <c r="K18" s="13">
        <v>2201</v>
      </c>
      <c r="L18" s="465">
        <f t="shared" si="3"/>
        <v>36.212569924317215</v>
      </c>
      <c r="M18" s="13">
        <v>3098</v>
      </c>
      <c r="N18" s="465">
        <f t="shared" si="4"/>
        <v>45.18010791891498</v>
      </c>
    </row>
    <row r="19" spans="1:14" ht="12.75">
      <c r="A19" s="211" t="s">
        <v>23</v>
      </c>
      <c r="B19" s="209"/>
      <c r="C19" s="13">
        <v>662</v>
      </c>
      <c r="D19" s="395">
        <f>(C19/C$49)*100</f>
        <v>11.308507003758114</v>
      </c>
      <c r="E19" s="13">
        <v>355</v>
      </c>
      <c r="F19" s="395">
        <f t="shared" si="1"/>
        <v>5.6046731922955475</v>
      </c>
      <c r="G19" s="396">
        <v>567</v>
      </c>
      <c r="H19" s="395">
        <f t="shared" si="2"/>
        <v>7.5</v>
      </c>
      <c r="I19" s="13">
        <v>508</v>
      </c>
      <c r="J19" s="465">
        <f t="shared" si="0"/>
        <v>7.191392978482446</v>
      </c>
      <c r="K19" s="13">
        <v>1734</v>
      </c>
      <c r="L19" s="465">
        <f t="shared" si="3"/>
        <v>28.529121421520237</v>
      </c>
      <c r="M19" s="13">
        <v>1655</v>
      </c>
      <c r="N19" s="465">
        <f t="shared" si="4"/>
        <v>24.135919498322885</v>
      </c>
    </row>
    <row r="20" spans="1:14" ht="12.75">
      <c r="A20" s="211" t="s">
        <v>67</v>
      </c>
      <c r="B20" s="209"/>
      <c r="C20" s="551" t="s">
        <v>252</v>
      </c>
      <c r="D20" s="553" t="s">
        <v>252</v>
      </c>
      <c r="E20" s="13">
        <v>0</v>
      </c>
      <c r="F20" s="395">
        <f t="shared" si="1"/>
        <v>0</v>
      </c>
      <c r="G20" s="396">
        <v>0</v>
      </c>
      <c r="H20" s="395">
        <f t="shared" si="2"/>
        <v>0</v>
      </c>
      <c r="I20" s="13">
        <v>42</v>
      </c>
      <c r="J20" s="465">
        <f t="shared" si="0"/>
        <v>0.594563986409966</v>
      </c>
      <c r="K20" s="13">
        <v>142</v>
      </c>
      <c r="L20" s="465">
        <f t="shared" si="3"/>
        <v>2.336294833826917</v>
      </c>
      <c r="M20" s="13">
        <v>42</v>
      </c>
      <c r="N20" s="465">
        <f t="shared" si="4"/>
        <v>0.6125127606825143</v>
      </c>
    </row>
    <row r="21" spans="1:14" ht="12.75">
      <c r="A21" s="211" t="s">
        <v>27</v>
      </c>
      <c r="B21" s="209"/>
      <c r="C21" s="11">
        <v>247</v>
      </c>
      <c r="D21" s="395">
        <f>(C21/C$49)*100</f>
        <v>4.219337205329689</v>
      </c>
      <c r="E21" s="11">
        <v>116</v>
      </c>
      <c r="F21" s="395">
        <f t="shared" si="1"/>
        <v>1.831386169876855</v>
      </c>
      <c r="G21" s="397">
        <v>34</v>
      </c>
      <c r="H21" s="395">
        <f t="shared" si="2"/>
        <v>0.4497354497354497</v>
      </c>
      <c r="I21" s="11">
        <v>149</v>
      </c>
      <c r="J21" s="465">
        <f t="shared" si="0"/>
        <v>2.109286523216308</v>
      </c>
      <c r="K21" s="11">
        <f>37+79+20</f>
        <v>136</v>
      </c>
      <c r="L21" s="465">
        <f t="shared" si="3"/>
        <v>2.2375781507074697</v>
      </c>
      <c r="M21" s="11">
        <f>4+38+26</f>
        <v>68</v>
      </c>
      <c r="N21" s="465">
        <f t="shared" si="4"/>
        <v>0.9916873268193087</v>
      </c>
    </row>
    <row r="22" spans="1:14" ht="12.75">
      <c r="A22" s="208"/>
      <c r="B22" s="209"/>
      <c r="C22" s="13"/>
      <c r="D22" s="395">
        <f>(C22/C$49)*100</f>
        <v>0</v>
      </c>
      <c r="E22" s="13"/>
      <c r="F22" s="395">
        <f t="shared" si="1"/>
        <v>0</v>
      </c>
      <c r="G22" s="396"/>
      <c r="H22" s="395">
        <f t="shared" si="2"/>
        <v>0</v>
      </c>
      <c r="I22" s="13"/>
      <c r="J22" s="465">
        <f t="shared" si="0"/>
        <v>0</v>
      </c>
      <c r="K22" s="13"/>
      <c r="L22" s="465">
        <f t="shared" si="3"/>
        <v>0</v>
      </c>
      <c r="M22" s="13"/>
      <c r="N22" s="465">
        <f t="shared" si="4"/>
        <v>0</v>
      </c>
    </row>
    <row r="23" spans="1:14" ht="15" customHeight="1">
      <c r="A23" s="210" t="s">
        <v>24</v>
      </c>
      <c r="B23" s="209"/>
      <c r="C23" s="13">
        <v>22</v>
      </c>
      <c r="D23" s="395">
        <f>(C23/C$49)*100</f>
        <v>0.37581141100102494</v>
      </c>
      <c r="E23" s="13">
        <v>181</v>
      </c>
      <c r="F23" s="395">
        <f t="shared" si="1"/>
        <v>2.857593937480265</v>
      </c>
      <c r="G23" s="396">
        <f>SUM(G24:G26)</f>
        <v>18</v>
      </c>
      <c r="H23" s="395">
        <f t="shared" si="2"/>
        <v>0.2380952380952381</v>
      </c>
      <c r="I23" s="13">
        <f>SUM(I24:I26)</f>
        <v>93</v>
      </c>
      <c r="J23" s="465">
        <f t="shared" si="0"/>
        <v>1.3165345413363534</v>
      </c>
      <c r="K23" s="13">
        <f>SUM(K24:K26)</f>
        <v>31</v>
      </c>
      <c r="L23" s="465">
        <f t="shared" si="3"/>
        <v>0.5100361961171438</v>
      </c>
      <c r="M23" s="13">
        <f>SUM(M24:M26)</f>
        <v>0</v>
      </c>
      <c r="N23" s="465">
        <f t="shared" si="4"/>
        <v>0</v>
      </c>
    </row>
    <row r="24" spans="1:14" ht="12.75">
      <c r="A24" s="211" t="s">
        <v>26</v>
      </c>
      <c r="B24" s="209"/>
      <c r="C24" s="551" t="s">
        <v>252</v>
      </c>
      <c r="D24" s="553" t="s">
        <v>252</v>
      </c>
      <c r="E24" s="13">
        <v>0</v>
      </c>
      <c r="F24" s="395">
        <f t="shared" si="1"/>
        <v>0</v>
      </c>
      <c r="G24" s="396">
        <v>0</v>
      </c>
      <c r="H24" s="395">
        <f t="shared" si="2"/>
        <v>0</v>
      </c>
      <c r="I24" s="13">
        <v>0</v>
      </c>
      <c r="J24" s="465">
        <f t="shared" si="0"/>
        <v>0</v>
      </c>
      <c r="K24" s="13">
        <v>31</v>
      </c>
      <c r="L24" s="465">
        <f t="shared" si="3"/>
        <v>0.5100361961171438</v>
      </c>
      <c r="M24" s="551" t="s">
        <v>252</v>
      </c>
      <c r="N24" s="553" t="s">
        <v>252</v>
      </c>
    </row>
    <row r="25" spans="1:14" ht="12.75">
      <c r="A25" s="211" t="s">
        <v>69</v>
      </c>
      <c r="B25" s="209"/>
      <c r="C25" s="13">
        <v>22</v>
      </c>
      <c r="D25" s="395">
        <f>(C25/C$49)*100</f>
        <v>0.37581141100102494</v>
      </c>
      <c r="E25" s="13">
        <v>88</v>
      </c>
      <c r="F25" s="395">
        <f t="shared" si="1"/>
        <v>1.3893274392169246</v>
      </c>
      <c r="G25" s="396">
        <v>0</v>
      </c>
      <c r="H25" s="395">
        <f t="shared" si="2"/>
        <v>0</v>
      </c>
      <c r="I25" s="13">
        <v>63</v>
      </c>
      <c r="J25" s="465">
        <f t="shared" si="0"/>
        <v>0.891845979614949</v>
      </c>
      <c r="K25" s="551" t="s">
        <v>252</v>
      </c>
      <c r="L25" s="553" t="s">
        <v>252</v>
      </c>
      <c r="M25" s="551" t="s">
        <v>252</v>
      </c>
      <c r="N25" s="553" t="s">
        <v>252</v>
      </c>
    </row>
    <row r="26" spans="1:14" ht="12.75">
      <c r="A26" s="211" t="s">
        <v>27</v>
      </c>
      <c r="B26" s="209"/>
      <c r="C26" s="551" t="s">
        <v>252</v>
      </c>
      <c r="D26" s="553" t="s">
        <v>252</v>
      </c>
      <c r="E26" s="13">
        <v>93</v>
      </c>
      <c r="F26" s="395">
        <f t="shared" si="1"/>
        <v>1.4682664982633407</v>
      </c>
      <c r="G26" s="396">
        <v>18</v>
      </c>
      <c r="H26" s="395">
        <f t="shared" si="2"/>
        <v>0.2380952380952381</v>
      </c>
      <c r="I26" s="13">
        <v>30</v>
      </c>
      <c r="J26" s="465">
        <f t="shared" si="0"/>
        <v>0.42468856172140423</v>
      </c>
      <c r="K26" s="551" t="s">
        <v>252</v>
      </c>
      <c r="L26" s="553" t="s">
        <v>252</v>
      </c>
      <c r="M26" s="551" t="s">
        <v>252</v>
      </c>
      <c r="N26" s="553" t="s">
        <v>252</v>
      </c>
    </row>
    <row r="27" spans="3:14" ht="12.75">
      <c r="C27" s="13"/>
      <c r="D27" s="395">
        <f>(C27/C$49)*100</f>
        <v>0</v>
      </c>
      <c r="E27" s="13"/>
      <c r="F27" s="395">
        <f t="shared" si="1"/>
        <v>0</v>
      </c>
      <c r="G27" s="398"/>
      <c r="H27" s="395"/>
      <c r="I27" s="466"/>
      <c r="J27" s="465"/>
      <c r="K27" s="466"/>
      <c r="L27" s="465"/>
      <c r="M27" s="466"/>
      <c r="N27" s="465"/>
    </row>
    <row r="28" spans="1:14" ht="15" customHeight="1">
      <c r="A28" s="210" t="s">
        <v>28</v>
      </c>
      <c r="B28" s="209"/>
      <c r="C28" s="551" t="s">
        <v>252</v>
      </c>
      <c r="D28" s="553" t="s">
        <v>252</v>
      </c>
      <c r="E28" s="396">
        <f>SUM(E29:E29)</f>
        <v>0</v>
      </c>
      <c r="F28" s="395">
        <f t="shared" si="1"/>
        <v>0</v>
      </c>
      <c r="G28" s="13">
        <f>SUM(G29:G29)</f>
        <v>0</v>
      </c>
      <c r="H28" s="465">
        <f>(G28/G$49)*100</f>
        <v>0</v>
      </c>
      <c r="I28" s="13">
        <f>SUM(I29:I29)</f>
        <v>0</v>
      </c>
      <c r="J28" s="465">
        <f>(I28/I$49)*100</f>
        <v>0</v>
      </c>
      <c r="K28" s="13">
        <f>SUM(K29:K29)</f>
        <v>31</v>
      </c>
      <c r="L28" s="465">
        <f aca="true" t="shared" si="5" ref="L28:L33">(K28/K$49)*100</f>
        <v>0.5100361961171438</v>
      </c>
      <c r="M28" s="13">
        <f>SUM(M29:M29)</f>
        <v>87</v>
      </c>
      <c r="N28" s="465">
        <f aca="true" t="shared" si="6" ref="N28:N35">(M28/M$49)*100</f>
        <v>1.268776432842351</v>
      </c>
    </row>
    <row r="29" spans="1:14" ht="15" customHeight="1">
      <c r="A29" s="377" t="s">
        <v>27</v>
      </c>
      <c r="B29" s="209"/>
      <c r="C29" s="551" t="s">
        <v>252</v>
      </c>
      <c r="D29" s="553" t="s">
        <v>252</v>
      </c>
      <c r="E29" s="551" t="s">
        <v>252</v>
      </c>
      <c r="F29" s="553" t="s">
        <v>252</v>
      </c>
      <c r="G29" s="551" t="s">
        <v>252</v>
      </c>
      <c r="H29" s="553" t="s">
        <v>252</v>
      </c>
      <c r="I29" s="551" t="s">
        <v>252</v>
      </c>
      <c r="J29" s="553" t="s">
        <v>252</v>
      </c>
      <c r="K29" s="13">
        <v>31</v>
      </c>
      <c r="L29" s="465">
        <f t="shared" si="5"/>
        <v>0.5100361961171438</v>
      </c>
      <c r="M29" s="13">
        <v>87</v>
      </c>
      <c r="N29" s="465">
        <f t="shared" si="6"/>
        <v>1.268776432842351</v>
      </c>
    </row>
    <row r="30" spans="1:14" ht="12.75">
      <c r="A30" s="208"/>
      <c r="B30" s="209"/>
      <c r="C30" s="11"/>
      <c r="D30" s="395">
        <f>(C30/C$49)*100</f>
        <v>0</v>
      </c>
      <c r="E30" s="11"/>
      <c r="F30" s="395">
        <f>(E30/E$49)*100</f>
        <v>0</v>
      </c>
      <c r="G30" s="397"/>
      <c r="H30" s="395">
        <f>(G30/G$49)*100</f>
        <v>0</v>
      </c>
      <c r="I30" s="11"/>
      <c r="J30" s="465">
        <f>(I30/I$49)*100</f>
        <v>0</v>
      </c>
      <c r="K30" s="11"/>
      <c r="L30" s="465">
        <f t="shared" si="5"/>
        <v>0</v>
      </c>
      <c r="M30" s="11"/>
      <c r="N30" s="465">
        <f t="shared" si="6"/>
        <v>0</v>
      </c>
    </row>
    <row r="31" spans="1:14" ht="15" customHeight="1">
      <c r="A31" s="210" t="s">
        <v>31</v>
      </c>
      <c r="B31" s="209"/>
      <c r="C31" s="13">
        <v>1406</v>
      </c>
      <c r="D31" s="395">
        <f>(C31/C$49)*100</f>
        <v>24.017765630338232</v>
      </c>
      <c r="E31" s="13">
        <v>1301</v>
      </c>
      <c r="F31" s="395">
        <f>(E31/E$49)*100</f>
        <v>20.539943163877485</v>
      </c>
      <c r="G31" s="396">
        <f>SUM(G32:G38)</f>
        <v>1519</v>
      </c>
      <c r="H31" s="395">
        <f>(G31/G$49)*100</f>
        <v>20.09259259259259</v>
      </c>
      <c r="I31" s="13">
        <f>SUM(I32:I38)</f>
        <v>1004</v>
      </c>
      <c r="J31" s="465">
        <f>(I31/I$49)*100</f>
        <v>14.212910532276329</v>
      </c>
      <c r="K31" s="13">
        <f>SUM(K32:K38)</f>
        <v>698</v>
      </c>
      <c r="L31" s="465">
        <f t="shared" si="5"/>
        <v>11.48404080289569</v>
      </c>
      <c r="M31" s="13">
        <f>SUM(M32:M38)</f>
        <v>645</v>
      </c>
      <c r="N31" s="465">
        <f t="shared" si="6"/>
        <v>9.406445967624325</v>
      </c>
    </row>
    <row r="32" spans="1:14" ht="12.75">
      <c r="A32" s="211" t="s">
        <v>32</v>
      </c>
      <c r="B32" s="209"/>
      <c r="C32" s="13">
        <v>558</v>
      </c>
      <c r="D32" s="395">
        <f>(C32/C$49)*100</f>
        <v>9.531943969935087</v>
      </c>
      <c r="E32" s="13">
        <v>297</v>
      </c>
      <c r="F32" s="395">
        <f>(E32/E$49)*100</f>
        <v>4.6889801073571205</v>
      </c>
      <c r="G32" s="396">
        <v>380</v>
      </c>
      <c r="H32" s="395">
        <f>(G32/G$49)*100</f>
        <v>5.026455026455026</v>
      </c>
      <c r="I32" s="13">
        <v>544</v>
      </c>
      <c r="J32" s="465">
        <f>(I32/I$49)*100</f>
        <v>7.701019252548131</v>
      </c>
      <c r="K32" s="13">
        <v>120</v>
      </c>
      <c r="L32" s="465">
        <f t="shared" si="5"/>
        <v>1.9743336623889436</v>
      </c>
      <c r="M32" s="13">
        <v>66</v>
      </c>
      <c r="N32" s="465">
        <f t="shared" si="6"/>
        <v>0.9625200525010937</v>
      </c>
    </row>
    <row r="33" spans="1:14" ht="12.75">
      <c r="A33" s="211" t="s">
        <v>34</v>
      </c>
      <c r="B33" s="209"/>
      <c r="C33" s="11">
        <v>178</v>
      </c>
      <c r="D33" s="395">
        <f>(C33/C$49)*100</f>
        <v>3.0406559617355655</v>
      </c>
      <c r="E33" s="11">
        <v>411</v>
      </c>
      <c r="F33" s="395">
        <f>(E33/E$49)*100</f>
        <v>6.488790653615409</v>
      </c>
      <c r="G33" s="397">
        <v>299</v>
      </c>
      <c r="H33" s="395">
        <f>(G33/G$49)*100</f>
        <v>3.955026455026455</v>
      </c>
      <c r="I33" s="551" t="s">
        <v>252</v>
      </c>
      <c r="J33" s="553" t="s">
        <v>252</v>
      </c>
      <c r="K33" s="11">
        <v>16</v>
      </c>
      <c r="L33" s="465">
        <f t="shared" si="5"/>
        <v>0.2632444883185258</v>
      </c>
      <c r="M33" s="11">
        <v>9</v>
      </c>
      <c r="N33" s="465">
        <f t="shared" si="6"/>
        <v>0.13125273443196733</v>
      </c>
    </row>
    <row r="34" spans="1:14" ht="12.75">
      <c r="A34" s="211" t="s">
        <v>39</v>
      </c>
      <c r="B34" s="209"/>
      <c r="C34" s="551" t="s">
        <v>252</v>
      </c>
      <c r="D34" s="553" t="s">
        <v>252</v>
      </c>
      <c r="E34" s="551" t="s">
        <v>252</v>
      </c>
      <c r="F34" s="553" t="s">
        <v>252</v>
      </c>
      <c r="G34" s="551" t="s">
        <v>252</v>
      </c>
      <c r="H34" s="553" t="s">
        <v>252</v>
      </c>
      <c r="I34" s="551" t="s">
        <v>252</v>
      </c>
      <c r="J34" s="553" t="s">
        <v>252</v>
      </c>
      <c r="K34" s="551" t="s">
        <v>252</v>
      </c>
      <c r="L34" s="553" t="s">
        <v>252</v>
      </c>
      <c r="M34" s="13">
        <v>17</v>
      </c>
      <c r="N34" s="465">
        <f t="shared" si="6"/>
        <v>0.24792183170482718</v>
      </c>
    </row>
    <row r="35" spans="1:14" ht="12.75">
      <c r="A35" s="211" t="s">
        <v>36</v>
      </c>
      <c r="B35" s="209"/>
      <c r="C35" s="13">
        <v>411</v>
      </c>
      <c r="D35" s="395">
        <f>(C35/C$49)*100</f>
        <v>7.020840450973694</v>
      </c>
      <c r="E35" s="13">
        <v>422</v>
      </c>
      <c r="F35" s="395">
        <f aca="true" t="shared" si="7" ref="F35:F41">(E35/E$49)*100</f>
        <v>6.662456583517525</v>
      </c>
      <c r="G35" s="396">
        <v>747</v>
      </c>
      <c r="H35" s="395">
        <f>(G35/G$49)*100</f>
        <v>9.880952380952381</v>
      </c>
      <c r="I35" s="13">
        <v>460</v>
      </c>
      <c r="J35" s="465">
        <f>(I35/I$49)*100</f>
        <v>6.511891279728199</v>
      </c>
      <c r="K35" s="13">
        <v>525</v>
      </c>
      <c r="L35" s="465">
        <f>(K35/K$49)*100</f>
        <v>8.637709772951629</v>
      </c>
      <c r="M35" s="13">
        <v>553</v>
      </c>
      <c r="N35" s="465">
        <f t="shared" si="6"/>
        <v>8.064751348986437</v>
      </c>
    </row>
    <row r="36" spans="1:14" ht="12.75">
      <c r="A36" s="211" t="s">
        <v>37</v>
      </c>
      <c r="B36" s="209"/>
      <c r="C36" s="551" t="s">
        <v>252</v>
      </c>
      <c r="D36" s="553" t="s">
        <v>252</v>
      </c>
      <c r="E36" s="11">
        <v>44</v>
      </c>
      <c r="F36" s="395">
        <f t="shared" si="7"/>
        <v>0.6946637196084623</v>
      </c>
      <c r="G36" s="551" t="s">
        <v>252</v>
      </c>
      <c r="H36" s="553" t="s">
        <v>252</v>
      </c>
      <c r="I36" s="551" t="s">
        <v>252</v>
      </c>
      <c r="J36" s="553" t="s">
        <v>252</v>
      </c>
      <c r="K36" s="551" t="s">
        <v>252</v>
      </c>
      <c r="L36" s="553" t="s">
        <v>252</v>
      </c>
      <c r="M36" s="551" t="s">
        <v>252</v>
      </c>
      <c r="N36" s="553" t="s">
        <v>252</v>
      </c>
    </row>
    <row r="37" spans="1:14" ht="12.75">
      <c r="A37" s="211" t="s">
        <v>38</v>
      </c>
      <c r="B37" s="209"/>
      <c r="C37" s="11">
        <v>127</v>
      </c>
      <c r="D37" s="395">
        <f>(C37/C$49)*100</f>
        <v>2.169456781687735</v>
      </c>
      <c r="E37" s="11">
        <v>65</v>
      </c>
      <c r="F37" s="395">
        <f t="shared" si="7"/>
        <v>1.0262077676034103</v>
      </c>
      <c r="G37" s="397">
        <v>93</v>
      </c>
      <c r="H37" s="395">
        <f>(G37/G$49)*100</f>
        <v>1.2301587301587302</v>
      </c>
      <c r="I37" s="551" t="s">
        <v>252</v>
      </c>
      <c r="J37" s="553" t="s">
        <v>252</v>
      </c>
      <c r="K37" s="11">
        <v>37</v>
      </c>
      <c r="L37" s="465">
        <f>(K37/K$49)*100</f>
        <v>0.6087528792365909</v>
      </c>
      <c r="M37" s="551" t="s">
        <v>252</v>
      </c>
      <c r="N37" s="553" t="s">
        <v>252</v>
      </c>
    </row>
    <row r="38" spans="1:14" ht="12.75">
      <c r="A38" s="211" t="s">
        <v>27</v>
      </c>
      <c r="B38" s="209"/>
      <c r="C38" s="13">
        <v>132</v>
      </c>
      <c r="D38" s="395">
        <f>(C38/C$49)*100</f>
        <v>2.2548684660061498</v>
      </c>
      <c r="E38" s="13">
        <v>62</v>
      </c>
      <c r="F38" s="395">
        <f t="shared" si="7"/>
        <v>0.9788443321755604</v>
      </c>
      <c r="G38" s="551" t="s">
        <v>252</v>
      </c>
      <c r="H38" s="553" t="s">
        <v>252</v>
      </c>
      <c r="I38" s="551" t="s">
        <v>252</v>
      </c>
      <c r="J38" s="553" t="s">
        <v>252</v>
      </c>
      <c r="K38" s="551" t="s">
        <v>252</v>
      </c>
      <c r="L38" s="553" t="s">
        <v>252</v>
      </c>
      <c r="M38" s="551" t="s">
        <v>252</v>
      </c>
      <c r="N38" s="553" t="s">
        <v>252</v>
      </c>
    </row>
    <row r="39" spans="1:14" ht="12.75">
      <c r="A39" s="208"/>
      <c r="B39" s="209"/>
      <c r="C39" s="13"/>
      <c r="D39" s="395">
        <f>(C39/C$49)*100</f>
        <v>0</v>
      </c>
      <c r="E39" s="13"/>
      <c r="F39" s="395">
        <f t="shared" si="7"/>
        <v>0</v>
      </c>
      <c r="G39" s="396"/>
      <c r="H39" s="395">
        <f>(G39/G$49)*100</f>
        <v>0</v>
      </c>
      <c r="I39" s="13"/>
      <c r="J39" s="465">
        <f>(I39/I$49)*100</f>
        <v>0</v>
      </c>
      <c r="K39" s="13"/>
      <c r="L39" s="465">
        <f>(K39/K$49)*100</f>
        <v>0</v>
      </c>
      <c r="M39" s="13"/>
      <c r="N39" s="465">
        <f>(M39/M$49)*100</f>
        <v>0</v>
      </c>
    </row>
    <row r="40" spans="1:14" ht="15" customHeight="1">
      <c r="A40" s="210" t="s">
        <v>41</v>
      </c>
      <c r="B40" s="209"/>
      <c r="C40" s="551" t="s">
        <v>252</v>
      </c>
      <c r="D40" s="553" t="s">
        <v>252</v>
      </c>
      <c r="E40" s="13">
        <v>149</v>
      </c>
      <c r="F40" s="395">
        <f t="shared" si="7"/>
        <v>2.352383959583202</v>
      </c>
      <c r="G40" s="396">
        <f>SUM(G41:G46)</f>
        <v>468</v>
      </c>
      <c r="H40" s="395">
        <f>(G40/G$49)*100</f>
        <v>6.190476190476191</v>
      </c>
      <c r="I40" s="13">
        <f>SUM(I41:I46)</f>
        <v>344</v>
      </c>
      <c r="J40" s="465">
        <f>(I40/I$49)*100</f>
        <v>4.8697621744054365</v>
      </c>
      <c r="K40" s="13">
        <f>SUM(K41:K46)</f>
        <v>242</v>
      </c>
      <c r="L40" s="465">
        <f>(K40/K$49)*100</f>
        <v>3.981572885817703</v>
      </c>
      <c r="M40" s="13">
        <f>SUM(M41:M46)</f>
        <v>56</v>
      </c>
      <c r="N40" s="465">
        <f>(M40/M$49)*100</f>
        <v>0.816683680910019</v>
      </c>
    </row>
    <row r="41" spans="1:14" ht="12.75">
      <c r="A41" s="211" t="s">
        <v>43</v>
      </c>
      <c r="B41" s="209"/>
      <c r="C41" s="551" t="s">
        <v>252</v>
      </c>
      <c r="D41" s="553" t="s">
        <v>252</v>
      </c>
      <c r="E41" s="13">
        <v>66</v>
      </c>
      <c r="F41" s="395">
        <f t="shared" si="7"/>
        <v>1.0419955794126934</v>
      </c>
      <c r="G41" s="396"/>
      <c r="H41" s="395">
        <f>(G41/G$49)*100</f>
        <v>0</v>
      </c>
      <c r="I41" s="13"/>
      <c r="J41" s="465">
        <f>(I41/I$49)*100</f>
        <v>0</v>
      </c>
      <c r="K41" s="13"/>
      <c r="L41" s="465">
        <f>(K41/K$49)*100</f>
        <v>0</v>
      </c>
      <c r="M41" s="13"/>
      <c r="N41" s="465">
        <f>(M41/M$49)*100</f>
        <v>0</v>
      </c>
    </row>
    <row r="42" spans="1:14" ht="12.75">
      <c r="A42" s="211" t="s">
        <v>46</v>
      </c>
      <c r="B42" s="209"/>
      <c r="C42" s="551" t="s">
        <v>252</v>
      </c>
      <c r="D42" s="553" t="s">
        <v>252</v>
      </c>
      <c r="E42" s="551" t="s">
        <v>252</v>
      </c>
      <c r="F42" s="553" t="s">
        <v>252</v>
      </c>
      <c r="G42" s="551" t="s">
        <v>252</v>
      </c>
      <c r="H42" s="553" t="s">
        <v>252</v>
      </c>
      <c r="I42" s="551" t="s">
        <v>252</v>
      </c>
      <c r="J42" s="553" t="s">
        <v>252</v>
      </c>
      <c r="K42" s="551" t="s">
        <v>252</v>
      </c>
      <c r="L42" s="553" t="s">
        <v>252</v>
      </c>
      <c r="M42" s="551" t="s">
        <v>252</v>
      </c>
      <c r="N42" s="553" t="s">
        <v>252</v>
      </c>
    </row>
    <row r="43" spans="1:14" ht="12.75">
      <c r="A43" s="211" t="s">
        <v>47</v>
      </c>
      <c r="B43" s="209"/>
      <c r="C43" s="551" t="s">
        <v>252</v>
      </c>
      <c r="D43" s="553" t="s">
        <v>252</v>
      </c>
      <c r="E43" s="551" t="s">
        <v>252</v>
      </c>
      <c r="F43" s="553" t="s">
        <v>252</v>
      </c>
      <c r="G43" s="551" t="s">
        <v>252</v>
      </c>
      <c r="H43" s="553" t="s">
        <v>252</v>
      </c>
      <c r="I43" s="13">
        <v>42</v>
      </c>
      <c r="J43" s="465">
        <f>(I43/I$49)*100</f>
        <v>0.594563986409966</v>
      </c>
      <c r="K43" s="13">
        <v>39</v>
      </c>
      <c r="L43" s="465">
        <f>(K43/K$49)*100</f>
        <v>0.6416584402764067</v>
      </c>
      <c r="M43" s="551" t="s">
        <v>252</v>
      </c>
      <c r="N43" s="553" t="s">
        <v>252</v>
      </c>
    </row>
    <row r="44" spans="1:14" ht="12.75">
      <c r="A44" s="211" t="s">
        <v>49</v>
      </c>
      <c r="B44" s="209"/>
      <c r="C44" s="551" t="s">
        <v>252</v>
      </c>
      <c r="D44" s="553" t="s">
        <v>252</v>
      </c>
      <c r="E44" s="11">
        <v>30</v>
      </c>
      <c r="F44" s="395">
        <f>(E44/E$49)*100</f>
        <v>0.47363435427849704</v>
      </c>
      <c r="G44" s="397">
        <v>310</v>
      </c>
      <c r="H44" s="395">
        <f>(G44/G$49)*100</f>
        <v>4.1005291005291005</v>
      </c>
      <c r="I44" s="11">
        <v>113</v>
      </c>
      <c r="J44" s="465">
        <f>(I44/I$49)*100</f>
        <v>1.599660249150623</v>
      </c>
      <c r="K44" s="11">
        <v>90</v>
      </c>
      <c r="L44" s="465">
        <f>(K44/K$49)*100</f>
        <v>1.4807502467917077</v>
      </c>
      <c r="M44" s="551" t="s">
        <v>252</v>
      </c>
      <c r="N44" s="553" t="s">
        <v>252</v>
      </c>
    </row>
    <row r="45" spans="1:14" ht="12.75">
      <c r="A45" s="211" t="s">
        <v>239</v>
      </c>
      <c r="B45" s="209"/>
      <c r="C45" s="551" t="s">
        <v>252</v>
      </c>
      <c r="D45" s="553" t="s">
        <v>252</v>
      </c>
      <c r="E45" s="11">
        <v>53</v>
      </c>
      <c r="F45" s="395">
        <f>(E45/E$49)*100</f>
        <v>0.8367540258920114</v>
      </c>
      <c r="G45" s="397">
        <v>158</v>
      </c>
      <c r="H45" s="395">
        <f>(G45/G$49)*100</f>
        <v>2.08994708994709</v>
      </c>
      <c r="I45" s="11">
        <v>189</v>
      </c>
      <c r="J45" s="465">
        <f>(I45/I$49)*100</f>
        <v>2.675537938844847</v>
      </c>
      <c r="K45" s="11">
        <v>113</v>
      </c>
      <c r="L45" s="465">
        <f>(K45/K$49)*100</f>
        <v>1.8591641987495886</v>
      </c>
      <c r="M45" s="11">
        <v>28</v>
      </c>
      <c r="N45" s="465">
        <f>(M45/M$49)*100</f>
        <v>0.4083418404550095</v>
      </c>
    </row>
    <row r="46" spans="1:14" ht="12.75">
      <c r="A46" s="211" t="s">
        <v>27</v>
      </c>
      <c r="B46" s="209"/>
      <c r="C46" s="551" t="s">
        <v>252</v>
      </c>
      <c r="D46" s="553" t="s">
        <v>252</v>
      </c>
      <c r="E46" s="551" t="s">
        <v>252</v>
      </c>
      <c r="F46" s="553" t="s">
        <v>252</v>
      </c>
      <c r="G46" s="551" t="s">
        <v>252</v>
      </c>
      <c r="H46" s="553" t="s">
        <v>252</v>
      </c>
      <c r="I46" s="551" t="s">
        <v>252</v>
      </c>
      <c r="J46" s="553" t="s">
        <v>252</v>
      </c>
      <c r="K46" s="551" t="s">
        <v>252</v>
      </c>
      <c r="L46" s="553" t="s">
        <v>252</v>
      </c>
      <c r="M46" s="11">
        <v>28</v>
      </c>
      <c r="N46" s="465">
        <f>(M46/M$49)*100</f>
        <v>0.4083418404550095</v>
      </c>
    </row>
    <row r="47" spans="1:14" ht="12.75">
      <c r="A47" s="211"/>
      <c r="B47" s="209"/>
      <c r="C47" s="11"/>
      <c r="D47" s="395">
        <f>(C47/C$49)*100</f>
        <v>0</v>
      </c>
      <c r="E47" s="11"/>
      <c r="F47" s="395">
        <f>(E47/E$49)*100</f>
        <v>0</v>
      </c>
      <c r="G47" s="397"/>
      <c r="H47" s="395"/>
      <c r="I47" s="11"/>
      <c r="J47" s="465"/>
      <c r="K47" s="11"/>
      <c r="L47" s="465"/>
      <c r="M47" s="11"/>
      <c r="N47" s="465"/>
    </row>
    <row r="48" spans="1:14" ht="12.75">
      <c r="A48" s="321" t="s">
        <v>87</v>
      </c>
      <c r="B48" s="209"/>
      <c r="C48" s="11"/>
      <c r="D48" s="395">
        <f>(C48/C$49)*100</f>
        <v>0</v>
      </c>
      <c r="E48" s="11"/>
      <c r="F48" s="395">
        <f>(E48/E$49)*100</f>
        <v>0</v>
      </c>
      <c r="G48" s="397"/>
      <c r="H48" s="395">
        <f>(G48/G$49)*100</f>
        <v>0</v>
      </c>
      <c r="I48" s="11"/>
      <c r="J48" s="465">
        <f>(I48/I$49)*100</f>
        <v>0</v>
      </c>
      <c r="K48" s="11"/>
      <c r="L48" s="465">
        <f>(K48/K$49)*100</f>
        <v>0</v>
      </c>
      <c r="M48" s="11"/>
      <c r="N48" s="465">
        <f>(M48/M$49)*100</f>
        <v>0</v>
      </c>
    </row>
    <row r="49" spans="1:14" ht="18.75" customHeight="1" thickBot="1">
      <c r="A49" s="213" t="s">
        <v>70</v>
      </c>
      <c r="B49" s="322"/>
      <c r="C49" s="230">
        <v>5854</v>
      </c>
      <c r="D49" s="400">
        <f>(C49/C$49)*100</f>
        <v>100</v>
      </c>
      <c r="E49" s="230">
        <v>6334</v>
      </c>
      <c r="F49" s="400">
        <f>(E49/E$49)*100</f>
        <v>100</v>
      </c>
      <c r="G49" s="399">
        <f>SUM(G5+G23+G28+G31+G40+G48)</f>
        <v>7560</v>
      </c>
      <c r="H49" s="400">
        <f>(G49/G$49)*100</f>
        <v>100</v>
      </c>
      <c r="I49" s="230">
        <f>SUM(I5+I23+I28+I31+I40+I48)</f>
        <v>7064</v>
      </c>
      <c r="J49" s="467">
        <f>(I49/I$49)*100</f>
        <v>100</v>
      </c>
      <c r="K49" s="230">
        <f>SUM(K5+K23+K28+K31+K40+K48)</f>
        <v>6078</v>
      </c>
      <c r="L49" s="467">
        <f>(K49/K$49)*100</f>
        <v>100</v>
      </c>
      <c r="M49" s="230">
        <f>SUM(M5+M23+M28+M31+M40+M48)</f>
        <v>6857</v>
      </c>
      <c r="N49" s="467">
        <f>(M49/M$49)*100</f>
        <v>100</v>
      </c>
    </row>
    <row r="50" spans="1:14" ht="18.75" customHeight="1" thickTop="1">
      <c r="A50" s="209"/>
      <c r="B50" s="320"/>
      <c r="C50" s="231"/>
      <c r="D50" s="232"/>
      <c r="E50" s="233"/>
      <c r="F50" s="234"/>
      <c r="G50" s="233"/>
      <c r="H50" s="229"/>
      <c r="I50" s="235"/>
      <c r="J50" s="229"/>
      <c r="K50" s="233"/>
      <c r="L50" s="229"/>
      <c r="M50" s="323"/>
      <c r="N50" s="323"/>
    </row>
    <row r="51" spans="1:13" ht="12.75">
      <c r="A51" s="214"/>
      <c r="B51" s="26"/>
      <c r="C51" s="26"/>
      <c r="D51" s="27"/>
      <c r="F51" s="27"/>
      <c r="H51" s="27"/>
      <c r="I51" s="27"/>
      <c r="J51" s="27"/>
      <c r="K51" s="324"/>
      <c r="M51" s="324"/>
    </row>
    <row r="52" spans="1:13" ht="12">
      <c r="A52" s="325" t="s">
        <v>71</v>
      </c>
      <c r="G52" s="326"/>
      <c r="K52" s="327"/>
      <c r="M52" s="327"/>
    </row>
    <row r="53" ht="12">
      <c r="A53" s="325" t="s">
        <v>71</v>
      </c>
    </row>
    <row r="54" ht="12">
      <c r="A54" s="325" t="s">
        <v>71</v>
      </c>
    </row>
    <row r="55" ht="12">
      <c r="A55" s="325" t="s">
        <v>71</v>
      </c>
    </row>
    <row r="56" ht="12">
      <c r="A56" s="325" t="s">
        <v>71</v>
      </c>
    </row>
    <row r="57" ht="12">
      <c r="B57" s="325" t="s">
        <v>71</v>
      </c>
    </row>
    <row r="58" ht="12">
      <c r="A58" s="325" t="s">
        <v>71</v>
      </c>
    </row>
    <row r="60" ht="12">
      <c r="A60" s="325" t="s">
        <v>71</v>
      </c>
    </row>
  </sheetData>
  <sheetProtection/>
  <mergeCells count="8">
    <mergeCell ref="A1:N1"/>
    <mergeCell ref="A2:N2"/>
    <mergeCell ref="M3:N3"/>
    <mergeCell ref="K3:L3"/>
    <mergeCell ref="C3:D3"/>
    <mergeCell ref="E3:F3"/>
    <mergeCell ref="G3:H3"/>
    <mergeCell ref="I3:J3"/>
  </mergeCells>
  <printOptions horizontalCentered="1" verticalCentered="1"/>
  <pageMargins left="0.1968503937007874" right="0.1968503937007874" top="0.7874015748031497" bottom="0.7874015748031497" header="0.5118110236220472" footer="0.5118110236220472"/>
  <pageSetup fitToHeight="1" fitToWidth="1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M46"/>
  <sheetViews>
    <sheetView showGridLines="0" zoomScalePageLayoutView="0" workbookViewId="0" topLeftCell="A1">
      <selection activeCell="G27" sqref="G27"/>
    </sheetView>
  </sheetViews>
  <sheetFormatPr defaultColWidth="10.28125" defaultRowHeight="12.75"/>
  <cols>
    <col min="1" max="1" width="10.28125" style="312" customWidth="1"/>
    <col min="2" max="2" width="10.7109375" style="312" customWidth="1"/>
    <col min="3" max="8" width="11.28125" style="312" customWidth="1"/>
    <col min="9" max="9" width="14.421875" style="312" customWidth="1"/>
    <col min="10" max="10" width="9.421875" style="312" customWidth="1"/>
    <col min="11" max="11" width="10.28125" style="312" customWidth="1"/>
    <col min="12" max="12" width="8.7109375" style="313" customWidth="1"/>
    <col min="13" max="13" width="10.28125" style="314" customWidth="1"/>
    <col min="14" max="16384" width="10.28125" style="312" customWidth="1"/>
  </cols>
  <sheetData>
    <row r="1" spans="1:13" ht="12.75">
      <c r="A1" s="591" t="s">
        <v>227</v>
      </c>
      <c r="B1" s="591"/>
      <c r="C1" s="591"/>
      <c r="D1" s="591"/>
      <c r="E1" s="591"/>
      <c r="F1" s="591"/>
      <c r="G1" s="591"/>
      <c r="H1" s="591"/>
      <c r="K1" s="313"/>
      <c r="L1" s="314"/>
      <c r="M1" s="312"/>
    </row>
    <row r="2" spans="1:13" ht="13.5" thickBot="1">
      <c r="A2" s="187" t="s">
        <v>15</v>
      </c>
      <c r="B2" s="186"/>
      <c r="C2" s="186"/>
      <c r="D2" s="186"/>
      <c r="E2" s="186"/>
      <c r="F2" s="186"/>
      <c r="L2" s="312"/>
      <c r="M2" s="312"/>
    </row>
    <row r="3" spans="1:13" ht="13.5" thickTop="1">
      <c r="A3" s="315"/>
      <c r="B3" s="188"/>
      <c r="C3" s="419">
        <v>2008</v>
      </c>
      <c r="D3" s="420"/>
      <c r="E3" s="468">
        <v>2009</v>
      </c>
      <c r="F3" s="469"/>
      <c r="G3" s="468">
        <v>2010</v>
      </c>
      <c r="H3" s="469"/>
      <c r="L3" s="312"/>
      <c r="M3" s="312"/>
    </row>
    <row r="4" spans="1:13" ht="27.75" customHeight="1">
      <c r="A4" s="189" t="s">
        <v>105</v>
      </c>
      <c r="B4" s="190"/>
      <c r="C4" s="421" t="s">
        <v>151</v>
      </c>
      <c r="D4" s="422" t="s">
        <v>152</v>
      </c>
      <c r="E4" s="470" t="s">
        <v>151</v>
      </c>
      <c r="F4" s="471" t="s">
        <v>152</v>
      </c>
      <c r="G4" s="470" t="s">
        <v>151</v>
      </c>
      <c r="H4" s="471" t="s">
        <v>152</v>
      </c>
      <c r="L4" s="312"/>
      <c r="M4" s="312"/>
    </row>
    <row r="5" spans="1:13" ht="12.75">
      <c r="A5" s="191"/>
      <c r="B5" s="381"/>
      <c r="C5" s="423"/>
      <c r="D5" s="424"/>
      <c r="E5" s="472"/>
      <c r="F5" s="473"/>
      <c r="G5" s="472"/>
      <c r="H5" s="473"/>
      <c r="L5" s="312"/>
      <c r="M5" s="312"/>
    </row>
    <row r="6" spans="1:13" ht="12.75">
      <c r="A6" s="193" t="s">
        <v>19</v>
      </c>
      <c r="B6" s="382"/>
      <c r="C6" s="425">
        <f>+'BE3'!I5</f>
        <v>24136</v>
      </c>
      <c r="D6" s="426">
        <f>+'BE4'!I5+'BE6'!I5</f>
        <v>9429</v>
      </c>
      <c r="E6" s="474">
        <f>+'BE3'!K5</f>
        <v>29161</v>
      </c>
      <c r="F6" s="475">
        <f>+'BE4'!K5+'BE6'!K5</f>
        <v>8597</v>
      </c>
      <c r="G6" s="474">
        <f>+'BE3'!M5</f>
        <v>28075</v>
      </c>
      <c r="H6" s="475">
        <f>+'BE4'!M5+'BE6'!M5</f>
        <v>9071</v>
      </c>
      <c r="I6" s="316"/>
      <c r="J6" s="298"/>
      <c r="L6" s="312"/>
      <c r="M6" s="312"/>
    </row>
    <row r="7" spans="1:13" ht="12.75">
      <c r="A7" s="193" t="s">
        <v>24</v>
      </c>
      <c r="B7" s="382"/>
      <c r="C7" s="425">
        <f>+'BE3'!I14</f>
        <v>60</v>
      </c>
      <c r="D7" s="426">
        <f>+'BE4'!I23+'BE6'!I23</f>
        <v>4172</v>
      </c>
      <c r="E7" s="474">
        <f>+'BE3'!K14</f>
        <v>0</v>
      </c>
      <c r="F7" s="475">
        <f>+'BE4'!K23+'BE6'!K23</f>
        <v>3683</v>
      </c>
      <c r="G7" s="474">
        <f>+'BE3'!M14</f>
        <v>307</v>
      </c>
      <c r="H7" s="475">
        <f>+'BE4'!M23+'BE6'!M23</f>
        <v>3155</v>
      </c>
      <c r="I7" s="316"/>
      <c r="J7" s="298"/>
      <c r="L7" s="312"/>
      <c r="M7" s="312"/>
    </row>
    <row r="8" spans="1:13" ht="12.75">
      <c r="A8" s="193" t="s">
        <v>28</v>
      </c>
      <c r="B8" s="382"/>
      <c r="C8" s="425"/>
      <c r="D8" s="426">
        <f>+'BE4'!I28+'BE6'!I29</f>
        <v>308</v>
      </c>
      <c r="E8" s="474"/>
      <c r="F8" s="475">
        <f>+'BE4'!K28+'BE6'!K29</f>
        <v>586</v>
      </c>
      <c r="G8" s="474"/>
      <c r="H8" s="475">
        <f>+'BE4'!M28+'BE6'!M29</f>
        <v>1021</v>
      </c>
      <c r="I8" s="316"/>
      <c r="J8" s="298"/>
      <c r="L8" s="312"/>
      <c r="M8" s="312"/>
    </row>
    <row r="9" spans="1:13" ht="12.75">
      <c r="A9" s="193" t="s">
        <v>31</v>
      </c>
      <c r="B9" s="382"/>
      <c r="C9" s="425">
        <f>+'BE3'!I19</f>
        <v>31855</v>
      </c>
      <c r="D9" s="426">
        <f>+'BE4'!I31+'BE6'!I34</f>
        <v>4845</v>
      </c>
      <c r="E9" s="474">
        <f>+'BE3'!K19</f>
        <v>26754</v>
      </c>
      <c r="F9" s="475">
        <f>+'BE4'!K31+'BE6'!K34</f>
        <v>4602</v>
      </c>
      <c r="G9" s="474">
        <f>+'BE3'!M19</f>
        <v>24712</v>
      </c>
      <c r="H9" s="475">
        <f>+'BE4'!M31+'BE6'!M34</f>
        <v>4464</v>
      </c>
      <c r="I9" s="316"/>
      <c r="J9" s="298"/>
      <c r="L9" s="312"/>
      <c r="M9" s="312"/>
    </row>
    <row r="10" spans="1:13" ht="12.75">
      <c r="A10" s="193" t="s">
        <v>41</v>
      </c>
      <c r="B10" s="382"/>
      <c r="C10" s="425">
        <f>+'BE3'!I31</f>
        <v>26381</v>
      </c>
      <c r="D10" s="426">
        <f>+'BE4'!I40+'BE6'!I42</f>
        <v>1183</v>
      </c>
      <c r="E10" s="474">
        <f>+'BE3'!K31</f>
        <v>20382</v>
      </c>
      <c r="F10" s="475">
        <f>+'BE4'!K40+'BE6'!K42</f>
        <v>779</v>
      </c>
      <c r="G10" s="474">
        <f>+'BE3'!M31</f>
        <v>25525</v>
      </c>
      <c r="H10" s="475">
        <f>+'BE4'!M40+'BE6'!M42</f>
        <v>815</v>
      </c>
      <c r="I10" s="316"/>
      <c r="J10" s="298"/>
      <c r="L10" s="312"/>
      <c r="M10" s="312"/>
    </row>
    <row r="11" spans="1:13" ht="12.75">
      <c r="A11" s="193" t="s">
        <v>87</v>
      </c>
      <c r="B11" s="382"/>
      <c r="C11" s="425">
        <f>+'BE3'!I30</f>
        <v>0</v>
      </c>
      <c r="D11" s="426">
        <f>+'BE4'!I48</f>
        <v>0</v>
      </c>
      <c r="E11" s="474">
        <f>+'BE3'!K30</f>
        <v>0</v>
      </c>
      <c r="F11" s="475">
        <f>+'BE4'!K48</f>
        <v>0</v>
      </c>
      <c r="G11" s="474">
        <f>+'BE3'!M30</f>
        <v>0</v>
      </c>
      <c r="H11" s="475">
        <f>+'BE4'!M48</f>
        <v>0</v>
      </c>
      <c r="I11" s="316"/>
      <c r="J11" s="298"/>
      <c r="L11" s="312"/>
      <c r="M11" s="312"/>
    </row>
    <row r="12" spans="1:13" ht="19.5" customHeight="1" thickBot="1">
      <c r="A12" s="194" t="s">
        <v>78</v>
      </c>
      <c r="B12" s="383"/>
      <c r="C12" s="427">
        <f aca="true" t="shared" si="0" ref="C12:H12">SUM(C6:C11)</f>
        <v>82432</v>
      </c>
      <c r="D12" s="428">
        <f t="shared" si="0"/>
        <v>19937</v>
      </c>
      <c r="E12" s="476">
        <f t="shared" si="0"/>
        <v>76297</v>
      </c>
      <c r="F12" s="477">
        <f t="shared" si="0"/>
        <v>18247</v>
      </c>
      <c r="G12" s="476">
        <f t="shared" si="0"/>
        <v>78619</v>
      </c>
      <c r="H12" s="477">
        <f t="shared" si="0"/>
        <v>18526</v>
      </c>
      <c r="I12" s="316"/>
      <c r="J12" s="298"/>
      <c r="L12" s="312"/>
      <c r="M12" s="312"/>
    </row>
    <row r="13" spans="1:13" ht="13.5" thickTop="1">
      <c r="A13" s="195" t="s">
        <v>77</v>
      </c>
      <c r="B13" s="196"/>
      <c r="C13" s="429"/>
      <c r="D13" s="430"/>
      <c r="F13" s="197"/>
      <c r="H13" s="197"/>
      <c r="J13" s="298"/>
      <c r="L13" s="312"/>
      <c r="M13" s="312"/>
    </row>
    <row r="14" spans="1:13" ht="12.75">
      <c r="A14" s="196"/>
      <c r="B14" s="196"/>
      <c r="C14" s="431"/>
      <c r="D14" s="430"/>
      <c r="E14" s="198"/>
      <c r="F14" s="197"/>
      <c r="G14" s="198"/>
      <c r="H14" s="197"/>
      <c r="L14" s="312"/>
      <c r="M14" s="312"/>
    </row>
    <row r="15" spans="1:13" ht="12.75">
      <c r="A15" s="186" t="s">
        <v>153</v>
      </c>
      <c r="B15" s="186"/>
      <c r="C15" s="432"/>
      <c r="D15" s="433"/>
      <c r="E15" s="186"/>
      <c r="F15" s="219"/>
      <c r="G15" s="186"/>
      <c r="H15" s="219"/>
      <c r="L15" s="312"/>
      <c r="M15" s="312"/>
    </row>
    <row r="16" spans="1:13" ht="13.5" thickBot="1">
      <c r="A16" s="187" t="s">
        <v>15</v>
      </c>
      <c r="B16" s="199"/>
      <c r="C16" s="434"/>
      <c r="D16" s="434"/>
      <c r="E16" s="199"/>
      <c r="F16" s="199"/>
      <c r="G16" s="199"/>
      <c r="H16" s="199"/>
      <c r="L16" s="312"/>
      <c r="M16" s="312"/>
    </row>
    <row r="17" spans="1:13" ht="13.5" thickTop="1">
      <c r="A17" s="200"/>
      <c r="B17" s="188"/>
      <c r="C17" s="435"/>
      <c r="D17" s="436"/>
      <c r="E17" s="478"/>
      <c r="F17" s="479"/>
      <c r="G17" s="478"/>
      <c r="H17" s="479"/>
      <c r="L17" s="312"/>
      <c r="M17" s="312"/>
    </row>
    <row r="18" spans="1:13" ht="12.75">
      <c r="A18" s="193" t="s">
        <v>19</v>
      </c>
      <c r="B18" s="192"/>
      <c r="C18" s="437">
        <f>'BE7'!I34</f>
        <v>654</v>
      </c>
      <c r="D18" s="438">
        <f>+'BE7'!I7+'BE8'!I5</f>
        <v>18107</v>
      </c>
      <c r="E18" s="480">
        <f>'BE7'!K34</f>
        <v>343</v>
      </c>
      <c r="F18" s="481">
        <f>+'BE7'!K7+'BE8'!K5</f>
        <v>17940</v>
      </c>
      <c r="G18" s="480">
        <f>'BE7'!M34</f>
        <v>338</v>
      </c>
      <c r="H18" s="481">
        <f>+'BE7'!M7+'BE8'!M5</f>
        <v>18365</v>
      </c>
      <c r="I18" s="298"/>
      <c r="L18" s="312"/>
      <c r="M18" s="312"/>
    </row>
    <row r="19" spans="1:13" ht="12.75">
      <c r="A19" s="193" t="s">
        <v>24</v>
      </c>
      <c r="B19" s="192"/>
      <c r="C19" s="437">
        <f>'BE7'!I47</f>
        <v>0</v>
      </c>
      <c r="D19" s="438">
        <f>+'BE7'!I16+'BE8'!I22</f>
        <v>3614</v>
      </c>
      <c r="E19" s="480">
        <f>'BE7'!K47</f>
        <v>0</v>
      </c>
      <c r="F19" s="481">
        <f>+'BE7'!K16+'BE8'!K22</f>
        <v>1717</v>
      </c>
      <c r="G19" s="480">
        <f>'BE7'!M47</f>
        <v>0</v>
      </c>
      <c r="H19" s="481">
        <f>+'BE7'!M16+'BE8'!M22</f>
        <v>2723</v>
      </c>
      <c r="I19" s="298"/>
      <c r="L19" s="312"/>
      <c r="M19" s="312"/>
    </row>
    <row r="20" spans="1:13" ht="12.75">
      <c r="A20" s="193" t="s">
        <v>28</v>
      </c>
      <c r="B20" s="192"/>
      <c r="C20" s="437"/>
      <c r="D20" s="438">
        <f>+'BE7'!I20+'BE8'!I27</f>
        <v>552</v>
      </c>
      <c r="E20" s="482"/>
      <c r="F20" s="481">
        <f>+'BE7'!K20+'BE8'!K27</f>
        <v>695</v>
      </c>
      <c r="G20" s="482"/>
      <c r="H20" s="481">
        <f>+'BE7'!M20+'BE8'!M27</f>
        <v>468</v>
      </c>
      <c r="I20" s="298"/>
      <c r="L20" s="312"/>
      <c r="M20" s="312"/>
    </row>
    <row r="21" spans="1:13" ht="12.75">
      <c r="A21" s="193" t="s">
        <v>31</v>
      </c>
      <c r="B21" s="192"/>
      <c r="C21" s="437">
        <f>'BE7'!I44</f>
        <v>324</v>
      </c>
      <c r="D21" s="438">
        <f>+'BE7'!I22+'BE8'!I34</f>
        <v>4169</v>
      </c>
      <c r="E21" s="480">
        <f>'BE7'!K44</f>
        <v>32</v>
      </c>
      <c r="F21" s="481">
        <f>+'BE7'!K22+'BE8'!K34</f>
        <v>4389</v>
      </c>
      <c r="G21" s="480">
        <f>'BE7'!M44</f>
        <v>31</v>
      </c>
      <c r="H21" s="481">
        <f>+'BE7'!M22+'BE8'!M34</f>
        <v>5235</v>
      </c>
      <c r="I21" s="298"/>
      <c r="L21" s="312"/>
      <c r="M21" s="312"/>
    </row>
    <row r="22" spans="1:13" ht="12.75">
      <c r="A22" s="193" t="s">
        <v>41</v>
      </c>
      <c r="B22" s="192"/>
      <c r="C22" s="437"/>
      <c r="D22" s="438">
        <f>+'BE7'!I24+'BE8'!I42</f>
        <v>2239</v>
      </c>
      <c r="E22" s="482"/>
      <c r="F22" s="481">
        <f>+'BE7'!K24+'BE8'!K42</f>
        <v>1976</v>
      </c>
      <c r="G22" s="482"/>
      <c r="H22" s="481">
        <f>+'BE7'!M24+'BE8'!M42</f>
        <v>2774</v>
      </c>
      <c r="I22" s="298"/>
      <c r="L22" s="312"/>
      <c r="M22" s="312"/>
    </row>
    <row r="23" spans="1:13" ht="12.75">
      <c r="A23" s="193" t="s">
        <v>87</v>
      </c>
      <c r="B23" s="192"/>
      <c r="C23" s="437"/>
      <c r="D23" s="438" t="str">
        <f>+'BE8'!I50</f>
        <v>-</v>
      </c>
      <c r="E23" s="482"/>
      <c r="F23" s="481" t="str">
        <f>+'BE8'!K50</f>
        <v>-</v>
      </c>
      <c r="G23" s="482"/>
      <c r="H23" s="481" t="str">
        <f>+'BE8'!M50</f>
        <v>-</v>
      </c>
      <c r="I23" s="298"/>
      <c r="L23" s="312"/>
      <c r="M23" s="312"/>
    </row>
    <row r="24" spans="1:13" ht="19.5" customHeight="1" thickBot="1">
      <c r="A24" s="194" t="s">
        <v>78</v>
      </c>
      <c r="B24" s="201"/>
      <c r="C24" s="439">
        <f aca="true" t="shared" si="1" ref="C24:H24">SUM(C18:C23)</f>
        <v>978</v>
      </c>
      <c r="D24" s="440">
        <f t="shared" si="1"/>
        <v>28681</v>
      </c>
      <c r="E24" s="483">
        <f t="shared" si="1"/>
        <v>375</v>
      </c>
      <c r="F24" s="484">
        <f t="shared" si="1"/>
        <v>26717</v>
      </c>
      <c r="G24" s="483">
        <f t="shared" si="1"/>
        <v>369</v>
      </c>
      <c r="H24" s="484">
        <f t="shared" si="1"/>
        <v>29565</v>
      </c>
      <c r="I24" s="298"/>
      <c r="L24" s="312"/>
      <c r="M24" s="312"/>
    </row>
    <row r="25" spans="2:13" ht="13.5" thickTop="1">
      <c r="B25" s="196"/>
      <c r="D25" s="314"/>
      <c r="E25" s="317"/>
      <c r="F25" s="314"/>
      <c r="G25" s="314"/>
      <c r="L25" s="312"/>
      <c r="M25" s="312"/>
    </row>
    <row r="26" spans="1:13" ht="12.75">
      <c r="A26" s="202"/>
      <c r="B26" s="196"/>
      <c r="C26" s="314"/>
      <c r="D26" s="314"/>
      <c r="E26" s="318"/>
      <c r="F26" s="314"/>
      <c r="H26" s="298"/>
      <c r="L26" s="312"/>
      <c r="M26" s="312"/>
    </row>
    <row r="27" spans="4:13" ht="12.75">
      <c r="D27" s="203"/>
      <c r="L27" s="312"/>
      <c r="M27" s="312"/>
    </row>
    <row r="28" spans="4:13" ht="12.75">
      <c r="D28" s="203"/>
      <c r="L28" s="312"/>
      <c r="M28" s="312"/>
    </row>
    <row r="29" spans="4:13" ht="12.75">
      <c r="D29" s="203"/>
      <c r="L29" s="312"/>
      <c r="M29" s="312"/>
    </row>
    <row r="30" spans="4:13" ht="12.75">
      <c r="D30" s="203"/>
      <c r="L30" s="312"/>
      <c r="M30" s="312"/>
    </row>
    <row r="31" spans="4:13" ht="12.75">
      <c r="D31" s="203"/>
      <c r="L31" s="312"/>
      <c r="M31" s="312"/>
    </row>
    <row r="32" spans="12:13" ht="12">
      <c r="L32" s="312"/>
      <c r="M32" s="312"/>
    </row>
    <row r="33" spans="12:13" ht="12">
      <c r="L33" s="312"/>
      <c r="M33" s="312"/>
    </row>
    <row r="34" spans="12:13" ht="12">
      <c r="L34" s="312"/>
      <c r="M34" s="312"/>
    </row>
    <row r="35" spans="12:13" ht="12">
      <c r="L35" s="312"/>
      <c r="M35" s="312"/>
    </row>
    <row r="36" spans="12:13" ht="12">
      <c r="L36" s="312"/>
      <c r="M36" s="312"/>
    </row>
    <row r="37" spans="12:13" ht="12">
      <c r="L37" s="312"/>
      <c r="M37" s="312"/>
    </row>
    <row r="38" spans="12:13" ht="12">
      <c r="L38" s="312"/>
      <c r="M38" s="312"/>
    </row>
    <row r="39" spans="12:13" ht="12">
      <c r="L39" s="312"/>
      <c r="M39" s="312"/>
    </row>
    <row r="40" spans="12:13" ht="12">
      <c r="L40" s="312"/>
      <c r="M40" s="312"/>
    </row>
    <row r="41" spans="12:13" ht="12">
      <c r="L41" s="312"/>
      <c r="M41" s="312"/>
    </row>
    <row r="42" spans="12:13" ht="12">
      <c r="L42" s="312"/>
      <c r="M42" s="312"/>
    </row>
    <row r="43" spans="12:13" ht="12">
      <c r="L43" s="312"/>
      <c r="M43" s="312"/>
    </row>
    <row r="44" spans="12:13" ht="12">
      <c r="L44" s="312"/>
      <c r="M44" s="312"/>
    </row>
    <row r="45" spans="12:13" ht="12">
      <c r="L45" s="312"/>
      <c r="M45" s="312"/>
    </row>
    <row r="46" spans="12:13" ht="12">
      <c r="L46" s="312"/>
      <c r="M46" s="312"/>
    </row>
  </sheetData>
  <sheetProtection/>
  <mergeCells count="1">
    <mergeCell ref="A1:H1"/>
  </mergeCells>
  <printOptions horizontalCentered="1"/>
  <pageMargins left="0.1968503937007874" right="0.1968503937007874" top="0.984251968503937" bottom="0.984251968503937" header="0.5" footer="0.5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>
    <pageSetUpPr fitToPage="1"/>
  </sheetPr>
  <dimension ref="A1:O68"/>
  <sheetViews>
    <sheetView showGridLines="0" zoomScale="75" zoomScaleNormal="75" zoomScalePageLayoutView="0" workbookViewId="0" topLeftCell="A7">
      <selection activeCell="C4" sqref="C4"/>
    </sheetView>
  </sheetViews>
  <sheetFormatPr defaultColWidth="10.28125" defaultRowHeight="12.75"/>
  <cols>
    <col min="1" max="2" width="10.28125" style="239" customWidth="1"/>
    <col min="3" max="6" width="6.421875" style="239" customWidth="1"/>
    <col min="7" max="7" width="7.57421875" style="239" customWidth="1"/>
    <col min="8" max="8" width="6.421875" style="239" customWidth="1"/>
    <col min="9" max="9" width="7.8515625" style="239" customWidth="1"/>
    <col min="10" max="10" width="6.421875" style="239" customWidth="1"/>
    <col min="11" max="11" width="8.00390625" style="239" customWidth="1"/>
    <col min="12" max="12" width="6.421875" style="239" customWidth="1"/>
    <col min="13" max="13" width="7.8515625" style="239" bestFit="1" customWidth="1"/>
    <col min="14" max="14" width="7.57421875" style="245" customWidth="1"/>
    <col min="15" max="16384" width="10.28125" style="239" customWidth="1"/>
  </cols>
  <sheetData>
    <row r="1" spans="1:14" ht="12.75">
      <c r="A1" s="28" t="s">
        <v>228</v>
      </c>
      <c r="B1" s="28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8"/>
    </row>
    <row r="2" spans="1:14" ht="13.5" thickBot="1">
      <c r="A2" s="28" t="s">
        <v>15</v>
      </c>
      <c r="B2" s="29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8"/>
    </row>
    <row r="3" spans="1:14" s="240" customFormat="1" ht="19.5" customHeight="1" thickTop="1">
      <c r="A3" s="247" t="s">
        <v>57</v>
      </c>
      <c r="B3" s="30"/>
      <c r="C3" s="556">
        <v>2005</v>
      </c>
      <c r="D3" s="413"/>
      <c r="E3" s="412">
        <v>2006</v>
      </c>
      <c r="F3" s="413"/>
      <c r="G3" s="412">
        <v>2007</v>
      </c>
      <c r="H3" s="413"/>
      <c r="I3" s="30">
        <v>2008</v>
      </c>
      <c r="J3" s="485"/>
      <c r="K3" s="30">
        <v>2009</v>
      </c>
      <c r="L3" s="485"/>
      <c r="M3" s="30">
        <v>2010</v>
      </c>
      <c r="N3" s="485"/>
    </row>
    <row r="4" spans="1:14" ht="15" customHeight="1">
      <c r="A4" s="32"/>
      <c r="B4" s="33"/>
      <c r="C4" s="557" t="s">
        <v>58</v>
      </c>
      <c r="D4" s="415" t="s">
        <v>59</v>
      </c>
      <c r="E4" s="414" t="s">
        <v>58</v>
      </c>
      <c r="F4" s="415" t="s">
        <v>59</v>
      </c>
      <c r="G4" s="414" t="s">
        <v>58</v>
      </c>
      <c r="H4" s="415" t="s">
        <v>59</v>
      </c>
      <c r="I4" s="34" t="s">
        <v>58</v>
      </c>
      <c r="J4" s="486" t="s">
        <v>59</v>
      </c>
      <c r="K4" s="34" t="s">
        <v>58</v>
      </c>
      <c r="L4" s="486" t="s">
        <v>59</v>
      </c>
      <c r="M4" s="34" t="s">
        <v>58</v>
      </c>
      <c r="N4" s="486" t="s">
        <v>59</v>
      </c>
    </row>
    <row r="5" spans="1:14" ht="15" customHeight="1">
      <c r="A5" s="378" t="s">
        <v>19</v>
      </c>
      <c r="B5" s="33"/>
      <c r="C5" s="44">
        <v>4661</v>
      </c>
      <c r="D5" s="35">
        <v>35.058292591199695</v>
      </c>
      <c r="E5" s="416">
        <f>SUM(E6:E21)</f>
        <v>4806</v>
      </c>
      <c r="F5" s="558">
        <f>(E5/$E$49)*100</f>
        <v>33.63191042687193</v>
      </c>
      <c r="G5" s="416">
        <f>SUM(G6:G21)</f>
        <v>3895</v>
      </c>
      <c r="H5" s="558">
        <f>(G5/$G$49)*100</f>
        <v>30.39406944986344</v>
      </c>
      <c r="I5" s="487">
        <f>SUM(I6:I21)</f>
        <v>3806</v>
      </c>
      <c r="J5" s="558">
        <f>(I5/$I$49)*100</f>
        <v>29.565757787617493</v>
      </c>
      <c r="K5" s="487">
        <f>SUM(K6:K21)</f>
        <v>3521</v>
      </c>
      <c r="L5" s="558">
        <f>(K5/$K$49)*100</f>
        <v>28.934177007149316</v>
      </c>
      <c r="M5" s="487">
        <f>SUM(M6:M21)</f>
        <v>3002</v>
      </c>
      <c r="N5" s="488">
        <f aca="true" t="shared" si="0" ref="N5:N21">(M5/$M$49)*100</f>
        <v>25.72628331476562</v>
      </c>
    </row>
    <row r="6" spans="1:14" ht="12.75">
      <c r="A6" s="36" t="s">
        <v>55</v>
      </c>
      <c r="B6" s="33"/>
      <c r="C6" s="44">
        <v>915</v>
      </c>
      <c r="D6" s="35">
        <v>6.882286573899962</v>
      </c>
      <c r="E6" s="416">
        <v>977</v>
      </c>
      <c r="F6" s="558">
        <f aca="true" t="shared" si="1" ref="F6:F49">(E6/$E$49)*100</f>
        <v>6.836948915325403</v>
      </c>
      <c r="G6" s="416">
        <v>876</v>
      </c>
      <c r="H6" s="558">
        <f aca="true" t="shared" si="2" ref="H6:H49">(G6/$G$49)*100</f>
        <v>6.835739367928209</v>
      </c>
      <c r="I6" s="487">
        <v>978</v>
      </c>
      <c r="J6" s="558">
        <f aca="true" t="shared" si="3" ref="J6:J49">(I6/$I$49)*100</f>
        <v>7.597296667443485</v>
      </c>
      <c r="K6" s="487">
        <v>938</v>
      </c>
      <c r="L6" s="558">
        <f aca="true" t="shared" si="4" ref="L6:L49">(K6/$K$49)*100</f>
        <v>7.708110773276358</v>
      </c>
      <c r="M6" s="487">
        <v>734</v>
      </c>
      <c r="N6" s="488">
        <f t="shared" si="0"/>
        <v>6.290170537321107</v>
      </c>
    </row>
    <row r="7" spans="1:14" ht="12.75">
      <c r="A7" s="36" t="s">
        <v>60</v>
      </c>
      <c r="B7" s="33"/>
      <c r="C7" s="44">
        <v>94</v>
      </c>
      <c r="D7" s="35">
        <v>0.7070327190673185</v>
      </c>
      <c r="E7" s="416">
        <v>261</v>
      </c>
      <c r="F7" s="558">
        <f t="shared" si="1"/>
        <v>1.8264520643806859</v>
      </c>
      <c r="G7" s="416">
        <v>236</v>
      </c>
      <c r="H7" s="558">
        <f t="shared" si="2"/>
        <v>1.8415918845103394</v>
      </c>
      <c r="I7" s="487">
        <v>280</v>
      </c>
      <c r="J7" s="558">
        <f t="shared" si="3"/>
        <v>2.1750951604132682</v>
      </c>
      <c r="K7" s="487">
        <v>302</v>
      </c>
      <c r="L7" s="558">
        <f t="shared" si="4"/>
        <v>2.481715835319254</v>
      </c>
      <c r="M7" s="487">
        <v>277</v>
      </c>
      <c r="N7" s="488">
        <f t="shared" si="0"/>
        <v>2.3738109520952952</v>
      </c>
    </row>
    <row r="8" spans="1:14" ht="12.75">
      <c r="A8" s="36" t="s">
        <v>67</v>
      </c>
      <c r="B8" s="33"/>
      <c r="C8" s="44">
        <v>143</v>
      </c>
      <c r="D8" s="35">
        <v>1.0755923279428357</v>
      </c>
      <c r="E8" s="416">
        <v>47</v>
      </c>
      <c r="F8" s="558">
        <f t="shared" si="1"/>
        <v>0.3289013296011197</v>
      </c>
      <c r="G8" s="416">
        <v>29</v>
      </c>
      <c r="H8" s="558">
        <f t="shared" si="2"/>
        <v>0.2262973078423722</v>
      </c>
      <c r="I8" s="487">
        <v>66</v>
      </c>
      <c r="J8" s="558">
        <f t="shared" si="3"/>
        <v>0.5127010020974132</v>
      </c>
      <c r="K8" s="487">
        <v>43</v>
      </c>
      <c r="L8" s="558">
        <f t="shared" si="4"/>
        <v>0.35335689045936397</v>
      </c>
      <c r="M8" s="487">
        <v>36</v>
      </c>
      <c r="N8" s="488">
        <f t="shared" si="0"/>
        <v>0.3085097266261033</v>
      </c>
    </row>
    <row r="9" spans="1:14" ht="12.75">
      <c r="A9" s="36" t="s">
        <v>21</v>
      </c>
      <c r="B9" s="33"/>
      <c r="C9" s="44">
        <v>557</v>
      </c>
      <c r="D9" s="35">
        <v>4.189544941707409</v>
      </c>
      <c r="E9" s="416">
        <v>338</v>
      </c>
      <c r="F9" s="558">
        <f t="shared" si="1"/>
        <v>2.365290412876137</v>
      </c>
      <c r="G9" s="416">
        <v>362</v>
      </c>
      <c r="H9" s="558">
        <f t="shared" si="2"/>
        <v>2.824814670308233</v>
      </c>
      <c r="I9" s="487">
        <v>275</v>
      </c>
      <c r="J9" s="558">
        <f t="shared" si="3"/>
        <v>2.136254175405888</v>
      </c>
      <c r="K9" s="487">
        <v>241</v>
      </c>
      <c r="L9" s="558">
        <f t="shared" si="4"/>
        <v>1.9804421069931795</v>
      </c>
      <c r="M9" s="487">
        <v>59</v>
      </c>
      <c r="N9" s="488">
        <f t="shared" si="0"/>
        <v>0.5056131630816694</v>
      </c>
    </row>
    <row r="10" spans="1:14" ht="12.75">
      <c r="A10" s="36" t="s">
        <v>62</v>
      </c>
      <c r="B10" s="33"/>
      <c r="C10" s="44">
        <v>349</v>
      </c>
      <c r="D10" s="35">
        <v>2.6250470101541934</v>
      </c>
      <c r="E10" s="416">
        <v>106</v>
      </c>
      <c r="F10" s="558">
        <f t="shared" si="1"/>
        <v>0.7417774667599719</v>
      </c>
      <c r="G10" s="416">
        <v>21</v>
      </c>
      <c r="H10" s="558">
        <f t="shared" si="2"/>
        <v>0.16387046429964885</v>
      </c>
      <c r="I10" s="487">
        <v>31</v>
      </c>
      <c r="J10" s="558">
        <f t="shared" si="3"/>
        <v>0.24081410704575468</v>
      </c>
      <c r="K10" s="487">
        <v>0</v>
      </c>
      <c r="L10" s="558">
        <f t="shared" si="4"/>
        <v>0</v>
      </c>
      <c r="M10" s="487">
        <v>16</v>
      </c>
      <c r="N10" s="488">
        <f t="shared" si="0"/>
        <v>0.13711543405604593</v>
      </c>
    </row>
    <row r="11" spans="1:14" ht="12.75">
      <c r="A11" s="36" t="s">
        <v>63</v>
      </c>
      <c r="B11" s="33"/>
      <c r="C11" s="44">
        <v>99</v>
      </c>
      <c r="D11" s="35">
        <v>0.7446408424219632</v>
      </c>
      <c r="E11" s="416">
        <v>89</v>
      </c>
      <c r="F11" s="558">
        <f t="shared" si="1"/>
        <v>0.622813156053184</v>
      </c>
      <c r="G11" s="416">
        <v>131</v>
      </c>
      <c r="H11" s="558">
        <f t="shared" si="2"/>
        <v>1.0222395630120953</v>
      </c>
      <c r="I11" s="487">
        <v>197</v>
      </c>
      <c r="J11" s="558">
        <f t="shared" si="3"/>
        <v>1.5303348092907636</v>
      </c>
      <c r="K11" s="487">
        <v>94</v>
      </c>
      <c r="L11" s="558">
        <f t="shared" si="4"/>
        <v>0.772454597748377</v>
      </c>
      <c r="M11" s="487">
        <v>148</v>
      </c>
      <c r="N11" s="488">
        <f t="shared" si="0"/>
        <v>1.268317765018425</v>
      </c>
    </row>
    <row r="12" spans="1:14" ht="12.75">
      <c r="A12" s="36" t="s">
        <v>65</v>
      </c>
      <c r="B12" s="33"/>
      <c r="C12" s="44">
        <v>57</v>
      </c>
      <c r="D12" s="35">
        <v>0.42873260624294846</v>
      </c>
      <c r="E12" s="416">
        <v>42</v>
      </c>
      <c r="F12" s="558">
        <f t="shared" si="1"/>
        <v>0.2939118264520644</v>
      </c>
      <c r="G12" s="416">
        <v>50</v>
      </c>
      <c r="H12" s="558">
        <f t="shared" si="2"/>
        <v>0.39016777214202103</v>
      </c>
      <c r="I12" s="487">
        <v>91</v>
      </c>
      <c r="J12" s="558">
        <f t="shared" si="3"/>
        <v>0.7069059271343121</v>
      </c>
      <c r="K12" s="487">
        <v>124</v>
      </c>
      <c r="L12" s="558">
        <f t="shared" si="4"/>
        <v>1.0189826608595611</v>
      </c>
      <c r="M12" s="487">
        <f>31+99+9</f>
        <v>139</v>
      </c>
      <c r="N12" s="488">
        <f t="shared" si="0"/>
        <v>1.191190333361899</v>
      </c>
    </row>
    <row r="13" spans="1:15" ht="12.75">
      <c r="A13" s="36" t="s">
        <v>22</v>
      </c>
      <c r="B13" s="33"/>
      <c r="C13" s="44">
        <v>777</v>
      </c>
      <c r="D13" s="35">
        <v>5.844302369311771</v>
      </c>
      <c r="E13" s="416">
        <v>890</v>
      </c>
      <c r="F13" s="558">
        <f t="shared" si="1"/>
        <v>6.22813156053184</v>
      </c>
      <c r="G13" s="416">
        <v>763</v>
      </c>
      <c r="H13" s="558">
        <f t="shared" si="2"/>
        <v>5.953960202887242</v>
      </c>
      <c r="I13" s="487">
        <v>566</v>
      </c>
      <c r="J13" s="558">
        <f t="shared" si="3"/>
        <v>4.396799502835392</v>
      </c>
      <c r="K13" s="487">
        <v>276</v>
      </c>
      <c r="L13" s="558">
        <f t="shared" si="4"/>
        <v>2.2680581806228943</v>
      </c>
      <c r="M13" s="487">
        <v>365</v>
      </c>
      <c r="N13" s="488">
        <f t="shared" si="0"/>
        <v>3.127945839403548</v>
      </c>
      <c r="O13" s="241"/>
    </row>
    <row r="14" spans="1:14" ht="12.75">
      <c r="A14" s="36" t="s">
        <v>23</v>
      </c>
      <c r="B14" s="33"/>
      <c r="C14" s="44">
        <v>26</v>
      </c>
      <c r="D14" s="35">
        <v>0.19556224144415194</v>
      </c>
      <c r="E14" s="416">
        <v>11</v>
      </c>
      <c r="F14" s="558">
        <f t="shared" si="1"/>
        <v>0.07697690692792163</v>
      </c>
      <c r="G14" s="416">
        <v>66</v>
      </c>
      <c r="H14" s="558">
        <f t="shared" si="2"/>
        <v>0.5150214592274678</v>
      </c>
      <c r="I14" s="487">
        <v>31</v>
      </c>
      <c r="J14" s="558">
        <f t="shared" si="3"/>
        <v>0.24081410704575468</v>
      </c>
      <c r="K14" s="487">
        <v>171</v>
      </c>
      <c r="L14" s="558">
        <f t="shared" si="4"/>
        <v>1.4052099597337497</v>
      </c>
      <c r="M14" s="487">
        <v>67</v>
      </c>
      <c r="N14" s="488">
        <f t="shared" si="0"/>
        <v>0.5741708801096923</v>
      </c>
    </row>
    <row r="15" spans="1:14" ht="12.75">
      <c r="A15" s="36" t="s">
        <v>53</v>
      </c>
      <c r="B15" s="33"/>
      <c r="C15" s="44">
        <v>246</v>
      </c>
      <c r="D15" s="35">
        <v>1.8503196690485144</v>
      </c>
      <c r="E15" s="416">
        <v>203</v>
      </c>
      <c r="F15" s="558">
        <f t="shared" si="1"/>
        <v>1.4205738278516444</v>
      </c>
      <c r="G15" s="416">
        <v>85</v>
      </c>
      <c r="H15" s="558">
        <f t="shared" si="2"/>
        <v>0.6632852126414358</v>
      </c>
      <c r="I15" s="487">
        <v>40</v>
      </c>
      <c r="J15" s="558">
        <f t="shared" si="3"/>
        <v>0.3107278800590383</v>
      </c>
      <c r="K15" s="487">
        <v>49</v>
      </c>
      <c r="L15" s="558">
        <f t="shared" si="4"/>
        <v>0.40266250308160073</v>
      </c>
      <c r="M15" s="487">
        <v>45</v>
      </c>
      <c r="N15" s="488">
        <f t="shared" si="0"/>
        <v>0.3856371582826292</v>
      </c>
    </row>
    <row r="16" spans="1:14" ht="12.75">
      <c r="A16" s="36" t="s">
        <v>20</v>
      </c>
      <c r="B16" s="33"/>
      <c r="C16" s="44">
        <v>100</v>
      </c>
      <c r="D16" s="35">
        <v>0.752162467092892</v>
      </c>
      <c r="E16" s="416">
        <v>66</v>
      </c>
      <c r="F16" s="558">
        <f t="shared" si="1"/>
        <v>0.46186144156752973</v>
      </c>
      <c r="G16" s="416">
        <v>32</v>
      </c>
      <c r="H16" s="558">
        <f t="shared" si="2"/>
        <v>0.2497073741708935</v>
      </c>
      <c r="I16" s="487">
        <v>11</v>
      </c>
      <c r="J16" s="558">
        <f t="shared" si="3"/>
        <v>0.08545016701623553</v>
      </c>
      <c r="K16" s="487">
        <v>0</v>
      </c>
      <c r="L16" s="558">
        <f t="shared" si="4"/>
        <v>0</v>
      </c>
      <c r="M16" s="487">
        <v>0</v>
      </c>
      <c r="N16" s="488">
        <f t="shared" si="0"/>
        <v>0</v>
      </c>
    </row>
    <row r="17" spans="1:14" ht="12.75">
      <c r="A17" s="36" t="s">
        <v>72</v>
      </c>
      <c r="B17" s="33"/>
      <c r="C17" s="44">
        <v>96</v>
      </c>
      <c r="D17" s="35">
        <v>0.7220759684091763</v>
      </c>
      <c r="E17" s="416">
        <v>274</v>
      </c>
      <c r="F17" s="558">
        <f t="shared" si="1"/>
        <v>1.9174247725682294</v>
      </c>
      <c r="G17" s="416">
        <v>155</v>
      </c>
      <c r="H17" s="558">
        <f t="shared" si="2"/>
        <v>1.2095200936402655</v>
      </c>
      <c r="I17" s="487">
        <v>96</v>
      </c>
      <c r="J17" s="558">
        <f t="shared" si="3"/>
        <v>0.745746912141692</v>
      </c>
      <c r="K17" s="487">
        <v>228</v>
      </c>
      <c r="L17" s="558">
        <f t="shared" si="4"/>
        <v>1.8736132796449996</v>
      </c>
      <c r="M17" s="487">
        <v>190</v>
      </c>
      <c r="N17" s="488">
        <f t="shared" si="0"/>
        <v>1.6282457794155454</v>
      </c>
    </row>
    <row r="18" spans="1:14" ht="12.75">
      <c r="A18" s="36" t="s">
        <v>73</v>
      </c>
      <c r="B18" s="37"/>
      <c r="C18" s="44">
        <v>91</v>
      </c>
      <c r="D18" s="35">
        <v>0.6844678450545318</v>
      </c>
      <c r="E18" s="416">
        <v>96</v>
      </c>
      <c r="F18" s="558">
        <f t="shared" si="1"/>
        <v>0.6717984604618614</v>
      </c>
      <c r="G18" s="416">
        <v>0</v>
      </c>
      <c r="H18" s="558">
        <f t="shared" si="2"/>
        <v>0</v>
      </c>
      <c r="I18" s="487">
        <v>80</v>
      </c>
      <c r="J18" s="558">
        <f t="shared" si="3"/>
        <v>0.6214557601180766</v>
      </c>
      <c r="K18" s="487">
        <v>196</v>
      </c>
      <c r="L18" s="558">
        <f t="shared" si="4"/>
        <v>1.610650012326403</v>
      </c>
      <c r="M18" s="487">
        <v>70</v>
      </c>
      <c r="N18" s="488">
        <f t="shared" si="0"/>
        <v>0.599880023995201</v>
      </c>
    </row>
    <row r="19" spans="1:14" ht="12.75">
      <c r="A19" s="36" t="s">
        <v>74</v>
      </c>
      <c r="B19" s="33"/>
      <c r="C19" s="44">
        <v>101</v>
      </c>
      <c r="D19" s="35">
        <v>0.759684091763821</v>
      </c>
      <c r="E19" s="416">
        <v>210</v>
      </c>
      <c r="F19" s="558">
        <f t="shared" si="1"/>
        <v>1.4695591322603219</v>
      </c>
      <c r="G19" s="416">
        <v>165</v>
      </c>
      <c r="H19" s="558">
        <f t="shared" si="2"/>
        <v>1.2875536480686696</v>
      </c>
      <c r="I19" s="487">
        <v>165</v>
      </c>
      <c r="J19" s="558">
        <f t="shared" si="3"/>
        <v>1.281752505243533</v>
      </c>
      <c r="K19" s="487">
        <v>303</v>
      </c>
      <c r="L19" s="558">
        <f t="shared" si="4"/>
        <v>2.4899334374229602</v>
      </c>
      <c r="M19" s="487">
        <v>169</v>
      </c>
      <c r="N19" s="488">
        <f t="shared" si="0"/>
        <v>1.4482817722169852</v>
      </c>
    </row>
    <row r="20" spans="1:14" ht="12.75">
      <c r="A20" s="36" t="s">
        <v>75</v>
      </c>
      <c r="B20" s="33"/>
      <c r="C20" s="44">
        <v>34</v>
      </c>
      <c r="D20" s="35">
        <v>0.2557352388115833</v>
      </c>
      <c r="E20" s="416">
        <v>90</v>
      </c>
      <c r="F20" s="558">
        <f t="shared" si="1"/>
        <v>0.6298110566829951</v>
      </c>
      <c r="G20" s="416">
        <v>3</v>
      </c>
      <c r="H20" s="558">
        <f t="shared" si="2"/>
        <v>0.023410066328521262</v>
      </c>
      <c r="I20" s="487">
        <v>4</v>
      </c>
      <c r="J20" s="558">
        <f t="shared" si="3"/>
        <v>0.03107278800590383</v>
      </c>
      <c r="K20" s="487">
        <v>36</v>
      </c>
      <c r="L20" s="558">
        <f t="shared" si="4"/>
        <v>0.295833675733421</v>
      </c>
      <c r="M20" s="487">
        <v>20</v>
      </c>
      <c r="N20" s="488">
        <f t="shared" si="0"/>
        <v>0.17139429257005742</v>
      </c>
    </row>
    <row r="21" spans="1:14" ht="12.75">
      <c r="A21" s="36" t="s">
        <v>27</v>
      </c>
      <c r="B21" s="33"/>
      <c r="C21" s="44">
        <v>976</v>
      </c>
      <c r="D21" s="35">
        <v>7.341105678826626</v>
      </c>
      <c r="E21" s="416">
        <f>10+61+9+9+35+277+62+3+19+594+27</f>
        <v>1106</v>
      </c>
      <c r="F21" s="558">
        <f t="shared" si="1"/>
        <v>7.739678096571029</v>
      </c>
      <c r="G21" s="416">
        <f>9+72+10+33+28+35+30+262+32+3+45+326+5+30+1</f>
        <v>921</v>
      </c>
      <c r="H21" s="558">
        <f t="shared" si="2"/>
        <v>7.186890362856029</v>
      </c>
      <c r="I21" s="487">
        <f>9+114+9+30+32+2+2+336+3+30+22+20+285+1</f>
        <v>895</v>
      </c>
      <c r="J21" s="558">
        <f t="shared" si="3"/>
        <v>6.952536316320981</v>
      </c>
      <c r="K21" s="487">
        <f>45+11+4+57+2+1+3+211+2+1+3+8+141+16+15</f>
        <v>520</v>
      </c>
      <c r="L21" s="558">
        <f t="shared" si="4"/>
        <v>4.273153093927192</v>
      </c>
      <c r="M21" s="487">
        <f>2+3+34+376+6+10+2+155+21+6+3+3+46</f>
        <v>667</v>
      </c>
      <c r="N21" s="488">
        <f t="shared" si="0"/>
        <v>5.715999657211414</v>
      </c>
    </row>
    <row r="22" spans="1:14" ht="12.75">
      <c r="A22" s="36" t="s">
        <v>71</v>
      </c>
      <c r="B22" s="33"/>
      <c r="C22" s="44"/>
      <c r="D22" s="35"/>
      <c r="E22" s="417"/>
      <c r="F22" s="558"/>
      <c r="G22" s="417"/>
      <c r="H22" s="558"/>
      <c r="I22" s="489"/>
      <c r="J22" s="558"/>
      <c r="K22" s="489"/>
      <c r="L22" s="558"/>
      <c r="M22" s="489"/>
      <c r="N22" s="488"/>
    </row>
    <row r="23" spans="1:15" ht="12.75">
      <c r="A23" s="378" t="s">
        <v>24</v>
      </c>
      <c r="B23" s="33"/>
      <c r="C23" s="44">
        <v>2882</v>
      </c>
      <c r="D23" s="35">
        <v>21.67732230161715</v>
      </c>
      <c r="E23" s="417">
        <f>SUM(E24:E27)</f>
        <v>4373</v>
      </c>
      <c r="F23" s="558">
        <f t="shared" si="1"/>
        <v>30.601819454163753</v>
      </c>
      <c r="G23" s="417">
        <f>SUM(G24:G27)</f>
        <v>4107</v>
      </c>
      <c r="H23" s="558">
        <f t="shared" si="2"/>
        <v>32.048380803745616</v>
      </c>
      <c r="I23" s="489">
        <f>SUM(I24:I27)</f>
        <v>4079</v>
      </c>
      <c r="J23" s="558">
        <f t="shared" si="3"/>
        <v>31.686475569020427</v>
      </c>
      <c r="K23" s="489">
        <f>SUM(K24:K27)</f>
        <v>3652</v>
      </c>
      <c r="L23" s="558">
        <f t="shared" si="4"/>
        <v>30.01068288273482</v>
      </c>
      <c r="M23" s="489">
        <f>SUM(M24:M27)</f>
        <v>3155</v>
      </c>
      <c r="N23" s="488">
        <f>(M23/$M$49)*100</f>
        <v>27.03744965292656</v>
      </c>
      <c r="O23" s="242"/>
    </row>
    <row r="24" spans="1:14" ht="15" customHeight="1">
      <c r="A24" s="36" t="s">
        <v>76</v>
      </c>
      <c r="B24" s="33"/>
      <c r="C24" s="554" t="s">
        <v>252</v>
      </c>
      <c r="D24" s="555" t="s">
        <v>252</v>
      </c>
      <c r="E24" s="554" t="s">
        <v>252</v>
      </c>
      <c r="F24" s="558" t="s">
        <v>252</v>
      </c>
      <c r="G24" s="554" t="s">
        <v>252</v>
      </c>
      <c r="H24" s="555" t="s">
        <v>252</v>
      </c>
      <c r="I24" s="554" t="s">
        <v>252</v>
      </c>
      <c r="J24" s="555" t="s">
        <v>252</v>
      </c>
      <c r="K24" s="554" t="s">
        <v>252</v>
      </c>
      <c r="L24" s="555" t="s">
        <v>252</v>
      </c>
      <c r="M24" s="554" t="s">
        <v>252</v>
      </c>
      <c r="N24" s="560" t="s">
        <v>252</v>
      </c>
    </row>
    <row r="25" spans="1:14" ht="12.75">
      <c r="A25" s="36" t="s">
        <v>26</v>
      </c>
      <c r="B25" s="33"/>
      <c r="C25" s="44">
        <v>682</v>
      </c>
      <c r="D25" s="35">
        <v>5.129748025573524</v>
      </c>
      <c r="E25" s="417">
        <v>1001</v>
      </c>
      <c r="F25" s="558">
        <f t="shared" si="1"/>
        <v>7.004898530440867</v>
      </c>
      <c r="G25" s="417">
        <v>860</v>
      </c>
      <c r="H25" s="558">
        <f t="shared" si="2"/>
        <v>6.710885680842763</v>
      </c>
      <c r="I25" s="489">
        <v>707</v>
      </c>
      <c r="J25" s="558">
        <f t="shared" si="3"/>
        <v>5.492115280043501</v>
      </c>
      <c r="K25" s="489">
        <v>647</v>
      </c>
      <c r="L25" s="558">
        <f t="shared" si="4"/>
        <v>5.316788561097872</v>
      </c>
      <c r="M25" s="489">
        <v>456</v>
      </c>
      <c r="N25" s="488">
        <f>(M25/$M$49)*100</f>
        <v>3.907789870597309</v>
      </c>
    </row>
    <row r="26" spans="1:14" ht="12.75">
      <c r="A26" s="36" t="s">
        <v>69</v>
      </c>
      <c r="B26" s="33"/>
      <c r="C26" s="44">
        <v>2039</v>
      </c>
      <c r="D26" s="35">
        <v>15.336592704024069</v>
      </c>
      <c r="E26" s="416">
        <v>2750</v>
      </c>
      <c r="F26" s="558">
        <f t="shared" si="1"/>
        <v>19.244226731980408</v>
      </c>
      <c r="G26" s="416">
        <v>2796</v>
      </c>
      <c r="H26" s="558">
        <f t="shared" si="2"/>
        <v>21.818181818181817</v>
      </c>
      <c r="I26" s="487">
        <v>3101</v>
      </c>
      <c r="J26" s="558">
        <f t="shared" si="3"/>
        <v>24.089178901576943</v>
      </c>
      <c r="K26" s="487">
        <v>2895</v>
      </c>
      <c r="L26" s="558">
        <f t="shared" si="4"/>
        <v>23.78995809022927</v>
      </c>
      <c r="M26" s="487">
        <v>2674</v>
      </c>
      <c r="N26" s="488">
        <f>(M26/$M$49)*100</f>
        <v>22.915416916616678</v>
      </c>
    </row>
    <row r="27" spans="1:14" ht="12.75">
      <c r="A27" s="36" t="s">
        <v>27</v>
      </c>
      <c r="B27" s="33"/>
      <c r="C27" s="44">
        <v>161</v>
      </c>
      <c r="D27" s="35">
        <v>1.2109815720195563</v>
      </c>
      <c r="E27" s="417">
        <f>110+460+34+18</f>
        <v>622</v>
      </c>
      <c r="F27" s="558">
        <f t="shared" si="1"/>
        <v>4.3526941917424775</v>
      </c>
      <c r="G27" s="417">
        <f>45+279+66+6+55</f>
        <v>451</v>
      </c>
      <c r="H27" s="558">
        <f t="shared" si="2"/>
        <v>3.51931330472103</v>
      </c>
      <c r="I27" s="489">
        <f>56+215</f>
        <v>271</v>
      </c>
      <c r="J27" s="558">
        <f t="shared" si="3"/>
        <v>2.1051813873999845</v>
      </c>
      <c r="K27" s="489">
        <f>35+37+3+35</f>
        <v>110</v>
      </c>
      <c r="L27" s="558">
        <f t="shared" si="4"/>
        <v>0.9039362314076753</v>
      </c>
      <c r="M27" s="489">
        <f>24+1</f>
        <v>25</v>
      </c>
      <c r="N27" s="488">
        <f>(M27/$M$49)*100</f>
        <v>0.21424286571257176</v>
      </c>
    </row>
    <row r="28" spans="1:14" ht="12.75">
      <c r="A28" s="32"/>
      <c r="B28" s="33"/>
      <c r="C28" s="44"/>
      <c r="D28" s="35"/>
      <c r="E28" s="417"/>
      <c r="F28" s="558"/>
      <c r="G28" s="417"/>
      <c r="H28" s="558"/>
      <c r="I28" s="489"/>
      <c r="J28" s="558"/>
      <c r="K28" s="489"/>
      <c r="L28" s="558"/>
      <c r="M28" s="489"/>
      <c r="N28" s="488"/>
    </row>
    <row r="29" spans="1:14" ht="12.75">
      <c r="A29" s="378" t="s">
        <v>28</v>
      </c>
      <c r="B29" s="33"/>
      <c r="C29" s="44">
        <v>136</v>
      </c>
      <c r="D29" s="35">
        <v>1.022940955246333</v>
      </c>
      <c r="E29" s="417">
        <f>SUM(E30:E32)</f>
        <v>77</v>
      </c>
      <c r="F29" s="558">
        <f t="shared" si="1"/>
        <v>0.5388383484954513</v>
      </c>
      <c r="G29" s="417">
        <f>SUM(G30:G32)</f>
        <v>204</v>
      </c>
      <c r="H29" s="558">
        <f t="shared" si="2"/>
        <v>1.5918845103394461</v>
      </c>
      <c r="I29" s="489">
        <f>SUM(I30:I32)</f>
        <v>308</v>
      </c>
      <c r="J29" s="558">
        <f t="shared" si="3"/>
        <v>2.392604676454595</v>
      </c>
      <c r="K29" s="489">
        <f>SUM(K30:K32)</f>
        <v>555</v>
      </c>
      <c r="L29" s="558">
        <f t="shared" si="4"/>
        <v>4.5607691675569075</v>
      </c>
      <c r="M29" s="489">
        <f>SUM(M30:M32)</f>
        <v>934</v>
      </c>
      <c r="N29" s="488">
        <f>(M29/$M$49)*100</f>
        <v>8.004113463021682</v>
      </c>
    </row>
    <row r="30" spans="1:14" ht="15" customHeight="1">
      <c r="A30" s="36" t="s">
        <v>29</v>
      </c>
      <c r="B30" s="33"/>
      <c r="C30" s="554" t="s">
        <v>252</v>
      </c>
      <c r="D30" s="555" t="s">
        <v>252</v>
      </c>
      <c r="E30" s="554" t="s">
        <v>252</v>
      </c>
      <c r="F30" s="558" t="s">
        <v>252</v>
      </c>
      <c r="G30" s="554" t="s">
        <v>252</v>
      </c>
      <c r="H30" s="558" t="s">
        <v>252</v>
      </c>
      <c r="I30" s="554" t="s">
        <v>252</v>
      </c>
      <c r="J30" s="558" t="s">
        <v>252</v>
      </c>
      <c r="K30" s="489">
        <v>35</v>
      </c>
      <c r="L30" s="558">
        <f t="shared" si="4"/>
        <v>0.28761607362971486</v>
      </c>
      <c r="M30" s="489">
        <v>7</v>
      </c>
      <c r="N30" s="488">
        <f>(M30/$M$49)*100</f>
        <v>0.05998800239952009</v>
      </c>
    </row>
    <row r="31" spans="1:14" ht="12.75">
      <c r="A31" s="36" t="s">
        <v>30</v>
      </c>
      <c r="B31" s="33"/>
      <c r="C31" s="554" t="s">
        <v>252</v>
      </c>
      <c r="D31" s="555" t="s">
        <v>252</v>
      </c>
      <c r="E31" s="417">
        <v>19</v>
      </c>
      <c r="F31" s="558">
        <f t="shared" si="1"/>
        <v>0.13296011196641008</v>
      </c>
      <c r="G31" s="417">
        <v>43</v>
      </c>
      <c r="H31" s="558">
        <f t="shared" si="2"/>
        <v>0.3355442840421381</v>
      </c>
      <c r="I31" s="489">
        <v>32</v>
      </c>
      <c r="J31" s="558">
        <f t="shared" si="3"/>
        <v>0.24858230404723064</v>
      </c>
      <c r="K31" s="489">
        <v>226</v>
      </c>
      <c r="L31" s="558">
        <f t="shared" si="4"/>
        <v>1.8571780754375873</v>
      </c>
      <c r="M31" s="489">
        <v>472</v>
      </c>
      <c r="N31" s="488">
        <f>(M31/$M$49)*100</f>
        <v>4.044905304653355</v>
      </c>
    </row>
    <row r="32" spans="1:14" ht="12.75">
      <c r="A32" s="36" t="s">
        <v>27</v>
      </c>
      <c r="B32" s="33"/>
      <c r="C32" s="44">
        <v>136</v>
      </c>
      <c r="D32" s="35">
        <v>1.022940955246333</v>
      </c>
      <c r="E32" s="417">
        <f>2+56</f>
        <v>58</v>
      </c>
      <c r="F32" s="558">
        <f t="shared" si="1"/>
        <v>0.4058782365290413</v>
      </c>
      <c r="G32" s="417">
        <f>22+63+35+37+3+1</f>
        <v>161</v>
      </c>
      <c r="H32" s="558">
        <f t="shared" si="2"/>
        <v>1.2563402262973078</v>
      </c>
      <c r="I32" s="489">
        <f>34+108+62+8+64</f>
        <v>276</v>
      </c>
      <c r="J32" s="558">
        <f t="shared" si="3"/>
        <v>2.144022372407364</v>
      </c>
      <c r="K32" s="489">
        <f>114+62+40+78</f>
        <v>294</v>
      </c>
      <c r="L32" s="558">
        <f t="shared" si="4"/>
        <v>2.4159750184896045</v>
      </c>
      <c r="M32" s="489">
        <f>160+31+25+69+114+56</f>
        <v>455</v>
      </c>
      <c r="N32" s="488">
        <f>(M32/$M$49)*100</f>
        <v>3.8992201559688064</v>
      </c>
    </row>
    <row r="33" spans="1:14" ht="12.75">
      <c r="A33" s="36" t="s">
        <v>71</v>
      </c>
      <c r="B33" s="33"/>
      <c r="C33" s="44"/>
      <c r="D33" s="35"/>
      <c r="E33" s="417"/>
      <c r="F33" s="558"/>
      <c r="G33" s="417"/>
      <c r="H33" s="558"/>
      <c r="I33" s="489"/>
      <c r="J33" s="558"/>
      <c r="K33" s="489"/>
      <c r="L33" s="558"/>
      <c r="M33" s="489"/>
      <c r="N33" s="488"/>
    </row>
    <row r="34" spans="1:14" ht="12.75">
      <c r="A34" s="378" t="s">
        <v>31</v>
      </c>
      <c r="B34" s="33"/>
      <c r="C34" s="44">
        <v>5486</v>
      </c>
      <c r="D34" s="35">
        <v>41.26363294471606</v>
      </c>
      <c r="E34" s="416">
        <f>SUM(E35:E40)</f>
        <v>4566</v>
      </c>
      <c r="F34" s="558">
        <f t="shared" si="1"/>
        <v>31.952414275717285</v>
      </c>
      <c r="G34" s="416">
        <f>SUM(G35:G40)</f>
        <v>4089</v>
      </c>
      <c r="H34" s="558">
        <f t="shared" si="2"/>
        <v>31.907920405774483</v>
      </c>
      <c r="I34" s="487">
        <f>SUM(I35:I40)</f>
        <v>3841</v>
      </c>
      <c r="J34" s="558">
        <f t="shared" si="3"/>
        <v>29.83764468266915</v>
      </c>
      <c r="K34" s="487">
        <f>SUM(K35:K40)</f>
        <v>3904</v>
      </c>
      <c r="L34" s="558">
        <f t="shared" si="4"/>
        <v>32.08151861286876</v>
      </c>
      <c r="M34" s="487">
        <f>SUM(M35:M40)</f>
        <v>3819</v>
      </c>
      <c r="N34" s="488">
        <f>(M34/$M$49)*100</f>
        <v>32.72774016625246</v>
      </c>
    </row>
    <row r="35" spans="1:14" ht="15" customHeight="1">
      <c r="A35" s="36" t="s">
        <v>32</v>
      </c>
      <c r="B35" s="33"/>
      <c r="C35" s="44">
        <v>1295</v>
      </c>
      <c r="D35" s="35">
        <v>9.740503948852952</v>
      </c>
      <c r="E35" s="416">
        <v>1240</v>
      </c>
      <c r="F35" s="558">
        <f t="shared" si="1"/>
        <v>8.67739678096571</v>
      </c>
      <c r="G35" s="416">
        <v>910</v>
      </c>
      <c r="H35" s="558">
        <f t="shared" si="2"/>
        <v>7.101053452984783</v>
      </c>
      <c r="I35" s="487">
        <v>639</v>
      </c>
      <c r="J35" s="558">
        <f t="shared" si="3"/>
        <v>4.963877883943137</v>
      </c>
      <c r="K35" s="487">
        <v>733</v>
      </c>
      <c r="L35" s="558">
        <f t="shared" si="4"/>
        <v>6.0235023420166</v>
      </c>
      <c r="M35" s="487">
        <v>918</v>
      </c>
      <c r="N35" s="488">
        <f>(M35/$M$49)*100</f>
        <v>7.866998028965636</v>
      </c>
    </row>
    <row r="36" spans="1:14" ht="12.75">
      <c r="A36" s="36" t="s">
        <v>34</v>
      </c>
      <c r="B36" s="33"/>
      <c r="C36" s="44">
        <v>708</v>
      </c>
      <c r="D36" s="35">
        <v>5.3253102670176755</v>
      </c>
      <c r="E36" s="416">
        <v>574</v>
      </c>
      <c r="F36" s="558">
        <f t="shared" si="1"/>
        <v>4.016794961511547</v>
      </c>
      <c r="G36" s="416">
        <v>519</v>
      </c>
      <c r="H36" s="558">
        <f t="shared" si="2"/>
        <v>4.049941474834179</v>
      </c>
      <c r="I36" s="487">
        <v>566</v>
      </c>
      <c r="J36" s="558">
        <f t="shared" si="3"/>
        <v>4.396799502835392</v>
      </c>
      <c r="K36" s="487">
        <v>621</v>
      </c>
      <c r="L36" s="558">
        <f t="shared" si="4"/>
        <v>5.103130906401512</v>
      </c>
      <c r="M36" s="487">
        <v>626</v>
      </c>
      <c r="N36" s="488">
        <f>(M36/$M$49)*100</f>
        <v>5.364641357442798</v>
      </c>
    </row>
    <row r="37" spans="1:14" ht="12.75">
      <c r="A37" s="36" t="s">
        <v>36</v>
      </c>
      <c r="B37" s="33"/>
      <c r="C37" s="44">
        <v>3293</v>
      </c>
      <c r="D37" s="35">
        <v>24.768710041368934</v>
      </c>
      <c r="E37" s="416">
        <v>2673</v>
      </c>
      <c r="F37" s="558">
        <f t="shared" si="1"/>
        <v>18.705388383484955</v>
      </c>
      <c r="G37" s="416">
        <v>2545</v>
      </c>
      <c r="H37" s="558">
        <f t="shared" si="2"/>
        <v>19.85953960202887</v>
      </c>
      <c r="I37" s="487">
        <v>2504</v>
      </c>
      <c r="J37" s="558">
        <f t="shared" si="3"/>
        <v>19.451565291695797</v>
      </c>
      <c r="K37" s="487">
        <v>2351</v>
      </c>
      <c r="L37" s="558">
        <f t="shared" si="4"/>
        <v>19.319582545813134</v>
      </c>
      <c r="M37" s="487">
        <v>2149</v>
      </c>
      <c r="N37" s="488">
        <f>(M37/$M$49)*100</f>
        <v>18.416316736652668</v>
      </c>
    </row>
    <row r="38" spans="1:14" ht="12.75">
      <c r="A38" s="36" t="s">
        <v>37</v>
      </c>
      <c r="B38" s="33"/>
      <c r="C38" s="554" t="s">
        <v>252</v>
      </c>
      <c r="D38" s="555" t="s">
        <v>252</v>
      </c>
      <c r="E38" s="554" t="s">
        <v>252</v>
      </c>
      <c r="F38" s="558" t="s">
        <v>252</v>
      </c>
      <c r="G38" s="554" t="s">
        <v>252</v>
      </c>
      <c r="H38" s="555" t="s">
        <v>252</v>
      </c>
      <c r="I38" s="554" t="s">
        <v>252</v>
      </c>
      <c r="J38" s="555" t="s">
        <v>252</v>
      </c>
      <c r="K38" s="554" t="s">
        <v>252</v>
      </c>
      <c r="L38" s="555" t="s">
        <v>252</v>
      </c>
      <c r="M38" s="554" t="s">
        <v>252</v>
      </c>
      <c r="N38" s="560" t="s">
        <v>252</v>
      </c>
    </row>
    <row r="39" spans="1:14" ht="12.75">
      <c r="A39" s="36" t="s">
        <v>38</v>
      </c>
      <c r="B39" s="33"/>
      <c r="C39" s="44">
        <v>15</v>
      </c>
      <c r="D39" s="35">
        <v>0.11282437006393381</v>
      </c>
      <c r="E39" s="554" t="s">
        <v>252</v>
      </c>
      <c r="F39" s="558" t="s">
        <v>252</v>
      </c>
      <c r="G39" s="417">
        <v>45</v>
      </c>
      <c r="H39" s="558">
        <f t="shared" si="2"/>
        <v>0.351150994927819</v>
      </c>
      <c r="I39" s="554" t="s">
        <v>252</v>
      </c>
      <c r="J39" s="555" t="s">
        <v>252</v>
      </c>
      <c r="K39" s="489">
        <v>48</v>
      </c>
      <c r="L39" s="558">
        <f t="shared" si="4"/>
        <v>0.3944449009778947</v>
      </c>
      <c r="M39" s="489">
        <v>95</v>
      </c>
      <c r="N39" s="488">
        <f>(M39/$M$49)*100</f>
        <v>0.8141228897077727</v>
      </c>
    </row>
    <row r="40" spans="1:14" ht="12.75">
      <c r="A40" s="36" t="s">
        <v>27</v>
      </c>
      <c r="B40" s="33"/>
      <c r="C40" s="44">
        <v>175</v>
      </c>
      <c r="D40" s="35">
        <v>1.3162843174125611</v>
      </c>
      <c r="E40" s="417">
        <f>5+8+65+1</f>
        <v>79</v>
      </c>
      <c r="F40" s="558">
        <f t="shared" si="1"/>
        <v>0.5528341497550735</v>
      </c>
      <c r="G40" s="417">
        <f>49+20+1</f>
        <v>70</v>
      </c>
      <c r="H40" s="558">
        <f t="shared" si="2"/>
        <v>0.5462348809988294</v>
      </c>
      <c r="I40" s="489">
        <f>5+25+84+12+3+3</f>
        <v>132</v>
      </c>
      <c r="J40" s="558">
        <f t="shared" si="3"/>
        <v>1.0254020041948264</v>
      </c>
      <c r="K40" s="489">
        <f>15+44+15+24+22+26+8-3</f>
        <v>151</v>
      </c>
      <c r="L40" s="558">
        <f t="shared" si="4"/>
        <v>1.240857917659627</v>
      </c>
      <c r="M40" s="489">
        <f>19+10+2</f>
        <v>31</v>
      </c>
      <c r="N40" s="488">
        <f>(M40/$M$49)*100</f>
        <v>0.265661153483589</v>
      </c>
    </row>
    <row r="41" spans="1:14" ht="12.75">
      <c r="A41" s="36" t="s">
        <v>71</v>
      </c>
      <c r="B41" s="33"/>
      <c r="C41" s="44"/>
      <c r="D41" s="35"/>
      <c r="E41" s="417"/>
      <c r="F41" s="558"/>
      <c r="G41" s="417"/>
      <c r="H41" s="558"/>
      <c r="I41" s="489"/>
      <c r="J41" s="558"/>
      <c r="K41" s="489"/>
      <c r="L41" s="558"/>
      <c r="M41" s="489"/>
      <c r="N41" s="488"/>
    </row>
    <row r="42" spans="1:14" ht="12.75">
      <c r="A42" s="378" t="s">
        <v>41</v>
      </c>
      <c r="B42" s="33"/>
      <c r="C42" s="44">
        <v>130</v>
      </c>
      <c r="D42" s="35">
        <v>0.9778112072207596</v>
      </c>
      <c r="E42" s="417">
        <f>SUM(E43:E48)</f>
        <v>468</v>
      </c>
      <c r="F42" s="558">
        <f t="shared" si="1"/>
        <v>3.2750174947515744</v>
      </c>
      <c r="G42" s="417">
        <f>SUM(G43:G48)</f>
        <v>520</v>
      </c>
      <c r="H42" s="558">
        <f t="shared" si="2"/>
        <v>4.057744830277019</v>
      </c>
      <c r="I42" s="489">
        <f>SUM(I43:I48)</f>
        <v>839</v>
      </c>
      <c r="J42" s="558">
        <f t="shared" si="3"/>
        <v>6.517517284238328</v>
      </c>
      <c r="K42" s="489">
        <f>SUM(K43:K48)</f>
        <v>537</v>
      </c>
      <c r="L42" s="558">
        <f t="shared" si="4"/>
        <v>4.412852329690196</v>
      </c>
      <c r="M42" s="489">
        <f>SUM(M43:M48)</f>
        <v>759</v>
      </c>
      <c r="N42" s="488">
        <f>(M42/$M$49)*100</f>
        <v>6.504413403033679</v>
      </c>
    </row>
    <row r="43" spans="1:14" ht="15" customHeight="1">
      <c r="A43" s="36" t="s">
        <v>43</v>
      </c>
      <c r="B43" s="33"/>
      <c r="C43" s="44">
        <v>43</v>
      </c>
      <c r="D43" s="35">
        <v>0.3234298608499436</v>
      </c>
      <c r="E43" s="417">
        <v>112</v>
      </c>
      <c r="F43" s="558">
        <f t="shared" si="1"/>
        <v>0.7837648705388384</v>
      </c>
      <c r="G43" s="417">
        <v>207</v>
      </c>
      <c r="H43" s="558">
        <f t="shared" si="2"/>
        <v>1.6152945766679674</v>
      </c>
      <c r="I43" s="489">
        <v>155</v>
      </c>
      <c r="J43" s="558">
        <f t="shared" si="3"/>
        <v>1.2040705352287735</v>
      </c>
      <c r="K43" s="489">
        <v>231</v>
      </c>
      <c r="L43" s="558">
        <f t="shared" si="4"/>
        <v>1.898266085956118</v>
      </c>
      <c r="M43" s="489">
        <v>140</v>
      </c>
      <c r="N43" s="488">
        <f>(M43/$M$49)*100</f>
        <v>1.199760047990402</v>
      </c>
    </row>
    <row r="44" spans="1:14" ht="12.75">
      <c r="A44" s="36" t="s">
        <v>239</v>
      </c>
      <c r="B44" s="33"/>
      <c r="C44" s="554" t="s">
        <v>252</v>
      </c>
      <c r="D44" s="555" t="s">
        <v>252</v>
      </c>
      <c r="E44" s="417">
        <v>314</v>
      </c>
      <c r="F44" s="558">
        <f t="shared" si="1"/>
        <v>2.197340797760672</v>
      </c>
      <c r="G44" s="417">
        <v>221</v>
      </c>
      <c r="H44" s="558">
        <f t="shared" si="2"/>
        <v>1.724541552867733</v>
      </c>
      <c r="I44" s="489">
        <v>461</v>
      </c>
      <c r="J44" s="558">
        <f t="shared" si="3"/>
        <v>3.581138817680416</v>
      </c>
      <c r="K44" s="489">
        <v>272</v>
      </c>
      <c r="L44" s="558">
        <f t="shared" si="4"/>
        <v>2.2351877722080697</v>
      </c>
      <c r="M44" s="489">
        <v>353</v>
      </c>
      <c r="N44" s="488">
        <f>(M44/$M$49)*100</f>
        <v>3.025109263861513</v>
      </c>
    </row>
    <row r="45" spans="1:14" ht="12.75">
      <c r="A45" s="36" t="s">
        <v>46</v>
      </c>
      <c r="B45" s="33"/>
      <c r="C45" s="44">
        <v>17</v>
      </c>
      <c r="D45" s="35">
        <v>0.12786761940579164</v>
      </c>
      <c r="E45" s="554" t="s">
        <v>252</v>
      </c>
      <c r="F45" s="558" t="s">
        <v>252</v>
      </c>
      <c r="G45" s="417">
        <v>10</v>
      </c>
      <c r="H45" s="558">
        <f t="shared" si="2"/>
        <v>0.07803355442840422</v>
      </c>
      <c r="I45" s="489">
        <v>33</v>
      </c>
      <c r="J45" s="558">
        <f t="shared" si="3"/>
        <v>0.2563505010487066</v>
      </c>
      <c r="K45" s="554" t="s">
        <v>252</v>
      </c>
      <c r="L45" s="555" t="s">
        <v>252</v>
      </c>
      <c r="M45" s="554" t="s">
        <v>252</v>
      </c>
      <c r="N45" s="560" t="s">
        <v>252</v>
      </c>
    </row>
    <row r="46" spans="1:14" ht="12.75">
      <c r="A46" s="36" t="s">
        <v>47</v>
      </c>
      <c r="B46" s="33"/>
      <c r="C46" s="554" t="s">
        <v>252</v>
      </c>
      <c r="D46" s="555" t="s">
        <v>252</v>
      </c>
      <c r="E46" s="554" t="s">
        <v>252</v>
      </c>
      <c r="F46" s="558" t="s">
        <v>252</v>
      </c>
      <c r="G46" s="554" t="s">
        <v>252</v>
      </c>
      <c r="H46" s="555" t="s">
        <v>252</v>
      </c>
      <c r="I46" s="554" t="s">
        <v>252</v>
      </c>
      <c r="J46" s="555" t="s">
        <v>252</v>
      </c>
      <c r="K46" s="554" t="s">
        <v>252</v>
      </c>
      <c r="L46" s="555" t="s">
        <v>252</v>
      </c>
      <c r="M46" s="554" t="s">
        <v>252</v>
      </c>
      <c r="N46" s="560" t="s">
        <v>252</v>
      </c>
    </row>
    <row r="47" spans="1:14" ht="12.75">
      <c r="A47" s="36" t="s">
        <v>49</v>
      </c>
      <c r="B47" s="33"/>
      <c r="C47" s="44">
        <v>1</v>
      </c>
      <c r="D47" s="35">
        <v>0.007521624670928921</v>
      </c>
      <c r="E47" s="417">
        <v>28</v>
      </c>
      <c r="F47" s="558">
        <f t="shared" si="1"/>
        <v>0.1959412176347096</v>
      </c>
      <c r="G47" s="554" t="s">
        <v>252</v>
      </c>
      <c r="H47" s="555" t="s">
        <v>252</v>
      </c>
      <c r="I47" s="554" t="s">
        <v>252</v>
      </c>
      <c r="J47" s="555" t="s">
        <v>252</v>
      </c>
      <c r="K47" s="554" t="s">
        <v>252</v>
      </c>
      <c r="L47" s="555" t="s">
        <v>252</v>
      </c>
      <c r="M47" s="554" t="s">
        <v>252</v>
      </c>
      <c r="N47" s="560" t="s">
        <v>252</v>
      </c>
    </row>
    <row r="48" spans="1:14" ht="12.75">
      <c r="A48" s="36" t="s">
        <v>27</v>
      </c>
      <c r="B48" s="33"/>
      <c r="C48" s="44">
        <v>69</v>
      </c>
      <c r="D48" s="35">
        <v>0.5189921022940955</v>
      </c>
      <c r="E48" s="417">
        <f>14</f>
        <v>14</v>
      </c>
      <c r="F48" s="558">
        <f t="shared" si="1"/>
        <v>0.0979706088173548</v>
      </c>
      <c r="G48" s="417">
        <f>17+64+1</f>
        <v>82</v>
      </c>
      <c r="H48" s="558">
        <f t="shared" si="2"/>
        <v>0.6398751463129145</v>
      </c>
      <c r="I48" s="489">
        <f>32+32+93+33</f>
        <v>190</v>
      </c>
      <c r="J48" s="558">
        <f t="shared" si="3"/>
        <v>1.475957430280432</v>
      </c>
      <c r="K48" s="489">
        <f>34</f>
        <v>34</v>
      </c>
      <c r="L48" s="558">
        <f t="shared" si="4"/>
        <v>0.2793984715260087</v>
      </c>
      <c r="M48" s="489">
        <f>96+96+9+33+32</f>
        <v>266</v>
      </c>
      <c r="N48" s="488">
        <f>(M48/$M$49)*100</f>
        <v>2.2795440911817635</v>
      </c>
    </row>
    <row r="49" spans="1:14" ht="18" customHeight="1" thickBot="1">
      <c r="A49" s="379" t="s">
        <v>70</v>
      </c>
      <c r="B49" s="243"/>
      <c r="C49" s="220">
        <v>13295</v>
      </c>
      <c r="D49" s="221">
        <v>100</v>
      </c>
      <c r="E49" s="418">
        <f>SUM(E5+E23+E29+E34+E42)</f>
        <v>14290</v>
      </c>
      <c r="F49" s="559">
        <f t="shared" si="1"/>
        <v>100</v>
      </c>
      <c r="G49" s="418">
        <f>SUM(G5+G23+G29+G34+G42)</f>
        <v>12815</v>
      </c>
      <c r="H49" s="559">
        <f t="shared" si="2"/>
        <v>100</v>
      </c>
      <c r="I49" s="490">
        <f>SUM(I5+I23+I29+I34+I42)</f>
        <v>12873</v>
      </c>
      <c r="J49" s="559">
        <f t="shared" si="3"/>
        <v>100</v>
      </c>
      <c r="K49" s="490">
        <f>SUM(K5+K23+K29+K34+K42)</f>
        <v>12169</v>
      </c>
      <c r="L49" s="559">
        <f t="shared" si="4"/>
        <v>100</v>
      </c>
      <c r="M49" s="490">
        <f>SUM(M5+M23+M29+M34+M42)</f>
        <v>11669</v>
      </c>
      <c r="N49" s="491">
        <f>(M49/$M$49)*100</f>
        <v>100</v>
      </c>
    </row>
    <row r="50" spans="1:14" ht="18.75" customHeight="1" thickTop="1">
      <c r="A50" s="38" t="s">
        <v>77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222"/>
      <c r="N50" s="236"/>
    </row>
    <row r="51" spans="1:14" ht="12.75">
      <c r="A51" s="40"/>
      <c r="B51" s="39"/>
      <c r="C51" s="39"/>
      <c r="D51" s="41"/>
      <c r="E51" s="39"/>
      <c r="F51" s="41"/>
      <c r="G51" s="39"/>
      <c r="H51" s="41"/>
      <c r="I51" s="41"/>
      <c r="J51" s="41"/>
      <c r="K51" s="45"/>
      <c r="L51" s="45"/>
      <c r="M51" s="45"/>
      <c r="N51" s="236"/>
    </row>
    <row r="52" spans="1:14" ht="12.7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45"/>
      <c r="N52" s="236"/>
    </row>
    <row r="53" ht="12">
      <c r="B53" s="244" t="s">
        <v>71</v>
      </c>
    </row>
    <row r="54" spans="1:13" ht="12">
      <c r="A54" s="42"/>
      <c r="C54" s="43"/>
      <c r="G54" s="43"/>
      <c r="K54" s="43"/>
      <c r="M54" s="246"/>
    </row>
    <row r="56" spans="1:13" ht="12">
      <c r="A56" s="244" t="s">
        <v>71</v>
      </c>
      <c r="M56" s="246"/>
    </row>
    <row r="68" ht="12">
      <c r="E68" s="242"/>
    </row>
  </sheetData>
  <sheetProtection/>
  <printOptions horizontalCentered="1" verticalCentered="1"/>
  <pageMargins left="0" right="0" top="0.3937007874015748" bottom="0.3937007874015748" header="0.5118110236220472" footer="0.5118110236220472"/>
  <pageSetup fitToHeight="1" fitToWidth="1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>
    <pageSetUpPr fitToPage="1"/>
  </sheetPr>
  <dimension ref="A1:Q52"/>
  <sheetViews>
    <sheetView showGridLines="0" zoomScale="75" zoomScaleNormal="75" zoomScalePageLayoutView="0" workbookViewId="0" topLeftCell="A1">
      <selection activeCell="R36" sqref="R36"/>
    </sheetView>
  </sheetViews>
  <sheetFormatPr defaultColWidth="10.28125" defaultRowHeight="12.75"/>
  <cols>
    <col min="1" max="2" width="10.28125" style="309" customWidth="1"/>
    <col min="3" max="14" width="6.421875" style="309" customWidth="1"/>
    <col min="15" max="16384" width="10.28125" style="309" customWidth="1"/>
  </cols>
  <sheetData>
    <row r="1" spans="1:14" ht="12.75">
      <c r="A1" s="161" t="s">
        <v>229</v>
      </c>
      <c r="B1" s="308"/>
      <c r="C1" s="308"/>
      <c r="D1" s="308"/>
      <c r="E1" s="308"/>
      <c r="F1" s="308"/>
      <c r="G1" s="308"/>
      <c r="H1" s="308"/>
      <c r="I1" s="402"/>
      <c r="J1" s="402"/>
      <c r="K1" s="308"/>
      <c r="L1" s="308"/>
      <c r="M1" s="308"/>
      <c r="N1" s="308"/>
    </row>
    <row r="2" spans="1:14" ht="12.75">
      <c r="A2" s="161" t="s">
        <v>15</v>
      </c>
      <c r="B2" s="162"/>
      <c r="C2" s="308"/>
      <c r="D2" s="308"/>
      <c r="E2" s="308"/>
      <c r="F2" s="308"/>
      <c r="G2" s="308"/>
      <c r="H2" s="308"/>
      <c r="I2" s="402"/>
      <c r="J2" s="402"/>
      <c r="K2" s="308"/>
      <c r="L2" s="308"/>
      <c r="M2" s="308"/>
      <c r="N2" s="308"/>
    </row>
    <row r="3" spans="1:14" ht="12.75">
      <c r="A3" s="161"/>
      <c r="B3" s="162"/>
      <c r="C3" s="308"/>
      <c r="D3" s="308"/>
      <c r="E3" s="308"/>
      <c r="F3" s="308"/>
      <c r="G3" s="308"/>
      <c r="H3" s="308"/>
      <c r="I3" s="402"/>
      <c r="J3" s="402"/>
      <c r="K3" s="308"/>
      <c r="L3" s="308"/>
      <c r="M3" s="308"/>
      <c r="N3" s="308"/>
    </row>
    <row r="4" spans="1:14" ht="13.5" thickBot="1">
      <c r="A4" s="330" t="s">
        <v>211</v>
      </c>
      <c r="B4" s="162"/>
      <c r="C4" s="308"/>
      <c r="D4" s="308"/>
      <c r="E4" s="308"/>
      <c r="F4" s="308"/>
      <c r="G4" s="308"/>
      <c r="H4" s="308"/>
      <c r="I4" s="402"/>
      <c r="J4" s="402"/>
      <c r="K4" s="308"/>
      <c r="L4" s="308"/>
      <c r="M4" s="308"/>
      <c r="N4" s="308"/>
    </row>
    <row r="5" spans="1:14" ht="19.5" customHeight="1" thickTop="1">
      <c r="A5" s="163" t="s">
        <v>57</v>
      </c>
      <c r="B5" s="164"/>
      <c r="C5" s="401">
        <v>2005</v>
      </c>
      <c r="D5" s="31"/>
      <c r="E5" s="401">
        <v>2006</v>
      </c>
      <c r="F5" s="401"/>
      <c r="G5" s="401">
        <v>2007</v>
      </c>
      <c r="H5" s="401"/>
      <c r="I5" s="401">
        <v>2008</v>
      </c>
      <c r="J5" s="401"/>
      <c r="K5" s="401">
        <v>2009</v>
      </c>
      <c r="L5" s="401"/>
      <c r="M5" s="592">
        <v>2010</v>
      </c>
      <c r="N5" s="593"/>
    </row>
    <row r="6" spans="1:14" ht="15" customHeight="1">
      <c r="A6" s="167"/>
      <c r="B6" s="168"/>
      <c r="C6" s="171" t="s">
        <v>58</v>
      </c>
      <c r="D6" s="170" t="s">
        <v>59</v>
      </c>
      <c r="E6" s="169" t="s">
        <v>58</v>
      </c>
      <c r="F6" s="169" t="s">
        <v>59</v>
      </c>
      <c r="G6" s="403" t="s">
        <v>17</v>
      </c>
      <c r="H6" s="404" t="s">
        <v>18</v>
      </c>
      <c r="I6" s="403" t="s">
        <v>17</v>
      </c>
      <c r="J6" s="404" t="s">
        <v>18</v>
      </c>
      <c r="K6" s="403" t="s">
        <v>17</v>
      </c>
      <c r="L6" s="404" t="s">
        <v>18</v>
      </c>
      <c r="M6" s="494" t="s">
        <v>17</v>
      </c>
      <c r="N6" s="495" t="s">
        <v>18</v>
      </c>
    </row>
    <row r="7" spans="1:14" ht="15" customHeight="1">
      <c r="A7" s="172" t="s">
        <v>19</v>
      </c>
      <c r="B7" s="168"/>
      <c r="C7" s="492">
        <v>1165</v>
      </c>
      <c r="D7" s="174">
        <v>72.54047322540474</v>
      </c>
      <c r="E7" s="175">
        <v>431</v>
      </c>
      <c r="F7" s="174">
        <v>54.35056746532156</v>
      </c>
      <c r="G7" s="405">
        <v>539</v>
      </c>
      <c r="H7" s="174">
        <v>67.03980099502488</v>
      </c>
      <c r="I7" s="496">
        <v>682</v>
      </c>
      <c r="J7" s="565">
        <v>58.3404619332763</v>
      </c>
      <c r="K7" s="496">
        <f>SUM(K8:K14)</f>
        <v>699</v>
      </c>
      <c r="L7" s="565">
        <f aca="true" t="shared" si="0" ref="L7:N14">+K7/K$25*100</f>
        <v>36.311688311688314</v>
      </c>
      <c r="M7" s="496">
        <f>SUM(M8:M14)</f>
        <v>670</v>
      </c>
      <c r="N7" s="497">
        <f t="shared" si="0"/>
        <v>46.302695231513475</v>
      </c>
    </row>
    <row r="8" spans="1:17" ht="12.75">
      <c r="A8" s="176" t="s">
        <v>55</v>
      </c>
      <c r="B8" s="168"/>
      <c r="C8" s="492">
        <v>529</v>
      </c>
      <c r="D8" s="174">
        <v>32.93897882938979</v>
      </c>
      <c r="E8" s="177"/>
      <c r="F8" s="174">
        <v>0</v>
      </c>
      <c r="G8" s="405">
        <v>16</v>
      </c>
      <c r="H8" s="174">
        <v>1.9900497512437811</v>
      </c>
      <c r="I8" s="496">
        <v>33</v>
      </c>
      <c r="J8" s="565">
        <v>2.8229255774165956</v>
      </c>
      <c r="K8" s="496">
        <v>22</v>
      </c>
      <c r="L8" s="565">
        <f t="shared" si="0"/>
        <v>1.1428571428571428</v>
      </c>
      <c r="M8" s="563" t="s">
        <v>252</v>
      </c>
      <c r="N8" s="564" t="s">
        <v>252</v>
      </c>
      <c r="P8" s="371"/>
      <c r="Q8" s="372"/>
    </row>
    <row r="9" spans="1:17" ht="12.75">
      <c r="A9" s="176" t="s">
        <v>74</v>
      </c>
      <c r="B9" s="168"/>
      <c r="C9" s="492">
        <v>96</v>
      </c>
      <c r="D9" s="174">
        <v>5.9775840597758405</v>
      </c>
      <c r="E9" s="177">
        <v>210</v>
      </c>
      <c r="F9" s="174">
        <v>26.48171500630517</v>
      </c>
      <c r="G9" s="405">
        <v>218</v>
      </c>
      <c r="H9" s="174">
        <v>27.114427860696516</v>
      </c>
      <c r="I9" s="496">
        <v>274</v>
      </c>
      <c r="J9" s="565">
        <v>23.438836612489307</v>
      </c>
      <c r="K9" s="496">
        <v>191</v>
      </c>
      <c r="L9" s="565">
        <f t="shared" si="0"/>
        <v>9.922077922077923</v>
      </c>
      <c r="M9" s="496">
        <v>82</v>
      </c>
      <c r="N9" s="497">
        <f t="shared" si="0"/>
        <v>5.6668970283344855</v>
      </c>
      <c r="P9" s="371"/>
      <c r="Q9" s="372"/>
    </row>
    <row r="10" spans="1:17" ht="12.75">
      <c r="A10" s="176" t="s">
        <v>21</v>
      </c>
      <c r="B10" s="168"/>
      <c r="C10" s="561" t="s">
        <v>252</v>
      </c>
      <c r="D10" s="562" t="s">
        <v>252</v>
      </c>
      <c r="E10" s="561" t="s">
        <v>252</v>
      </c>
      <c r="F10" s="562" t="s">
        <v>252</v>
      </c>
      <c r="G10" s="561" t="s">
        <v>252</v>
      </c>
      <c r="H10" s="562" t="s">
        <v>252</v>
      </c>
      <c r="I10" s="496">
        <v>33</v>
      </c>
      <c r="J10" s="565">
        <v>2.8229255774165956</v>
      </c>
      <c r="K10" s="496">
        <v>61</v>
      </c>
      <c r="L10" s="565">
        <f t="shared" si="0"/>
        <v>3.168831168831169</v>
      </c>
      <c r="M10" s="496">
        <v>29</v>
      </c>
      <c r="N10" s="497">
        <f t="shared" si="0"/>
        <v>2.0041465100207327</v>
      </c>
      <c r="P10" s="371"/>
      <c r="Q10" s="372"/>
    </row>
    <row r="11" spans="1:17" ht="12.75">
      <c r="A11" s="176" t="s">
        <v>72</v>
      </c>
      <c r="B11" s="168"/>
      <c r="C11" s="492">
        <v>306</v>
      </c>
      <c r="D11" s="174">
        <v>19.05354919053549</v>
      </c>
      <c r="E11" s="173">
        <v>55</v>
      </c>
      <c r="F11" s="174">
        <v>6.935687263556116</v>
      </c>
      <c r="G11" s="405">
        <v>60</v>
      </c>
      <c r="H11" s="174">
        <v>7.462686567164178</v>
      </c>
      <c r="I11" s="496">
        <v>26</v>
      </c>
      <c r="J11" s="565">
        <v>2.2241231822070144</v>
      </c>
      <c r="K11" s="496">
        <v>87</v>
      </c>
      <c r="L11" s="565">
        <f t="shared" si="0"/>
        <v>4.51948051948052</v>
      </c>
      <c r="M11" s="496">
        <v>113</v>
      </c>
      <c r="N11" s="497">
        <f t="shared" si="0"/>
        <v>7.809260539046303</v>
      </c>
      <c r="P11" s="371"/>
      <c r="Q11" s="372"/>
    </row>
    <row r="12" spans="1:14" ht="12.75">
      <c r="A12" s="176" t="s">
        <v>54</v>
      </c>
      <c r="B12" s="168"/>
      <c r="C12" s="492">
        <v>15</v>
      </c>
      <c r="D12" s="174">
        <v>0.933997509339975</v>
      </c>
      <c r="E12" s="561" t="s">
        <v>252</v>
      </c>
      <c r="F12" s="562" t="s">
        <v>252</v>
      </c>
      <c r="G12" s="561" t="s">
        <v>252</v>
      </c>
      <c r="H12" s="562" t="s">
        <v>252</v>
      </c>
      <c r="I12" s="561" t="s">
        <v>252</v>
      </c>
      <c r="J12" s="562" t="s">
        <v>252</v>
      </c>
      <c r="K12" s="561" t="s">
        <v>252</v>
      </c>
      <c r="L12" s="562" t="s">
        <v>252</v>
      </c>
      <c r="M12" s="561" t="s">
        <v>252</v>
      </c>
      <c r="N12" s="564" t="s">
        <v>252</v>
      </c>
    </row>
    <row r="13" spans="1:14" ht="12.75">
      <c r="A13" s="176" t="s">
        <v>63</v>
      </c>
      <c r="B13" s="168"/>
      <c r="C13" s="492">
        <v>96</v>
      </c>
      <c r="D13" s="174">
        <v>5.9775840597758405</v>
      </c>
      <c r="E13" s="177">
        <v>98</v>
      </c>
      <c r="F13" s="174">
        <v>12.35813366960908</v>
      </c>
      <c r="G13" s="405">
        <v>107</v>
      </c>
      <c r="H13" s="174">
        <v>13.308457711442786</v>
      </c>
      <c r="I13" s="496">
        <v>97</v>
      </c>
      <c r="J13" s="565">
        <v>8.297690333618478</v>
      </c>
      <c r="K13" s="496">
        <v>71</v>
      </c>
      <c r="L13" s="565">
        <f t="shared" si="0"/>
        <v>3.6883116883116887</v>
      </c>
      <c r="M13" s="496">
        <v>105</v>
      </c>
      <c r="N13" s="497">
        <f t="shared" si="0"/>
        <v>7.256392536281962</v>
      </c>
    </row>
    <row r="14" spans="1:14" ht="12.75">
      <c r="A14" s="176" t="s">
        <v>27</v>
      </c>
      <c r="B14" s="168"/>
      <c r="C14" s="492">
        <v>123</v>
      </c>
      <c r="D14" s="174">
        <v>7.658779576587796</v>
      </c>
      <c r="E14" s="177">
        <v>68</v>
      </c>
      <c r="F14" s="174">
        <v>8.575031525851198</v>
      </c>
      <c r="G14" s="405">
        <v>138</v>
      </c>
      <c r="H14" s="174">
        <v>17.16417910447761</v>
      </c>
      <c r="I14" s="496">
        <v>219</v>
      </c>
      <c r="J14" s="565">
        <v>18.733960650128314</v>
      </c>
      <c r="K14" s="496">
        <f>29+70+69+10+89</f>
        <v>267</v>
      </c>
      <c r="L14" s="565">
        <f t="shared" si="0"/>
        <v>13.87012987012987</v>
      </c>
      <c r="M14" s="496">
        <f>22+91+6+43+109+48+22</f>
        <v>341</v>
      </c>
      <c r="N14" s="497">
        <f t="shared" si="0"/>
        <v>23.56599861782999</v>
      </c>
    </row>
    <row r="15" spans="1:14" ht="12.75">
      <c r="A15" s="176" t="s">
        <v>71</v>
      </c>
      <c r="B15" s="168"/>
      <c r="C15" s="492"/>
      <c r="D15" s="174"/>
      <c r="E15" s="177"/>
      <c r="F15" s="174"/>
      <c r="G15" s="405"/>
      <c r="H15" s="174"/>
      <c r="I15" s="496"/>
      <c r="J15" s="565"/>
      <c r="K15" s="496"/>
      <c r="L15" s="565"/>
      <c r="M15" s="496"/>
      <c r="N15" s="497"/>
    </row>
    <row r="16" spans="1:14" ht="15" customHeight="1">
      <c r="A16" s="172" t="s">
        <v>24</v>
      </c>
      <c r="B16" s="168"/>
      <c r="C16" s="492">
        <v>441</v>
      </c>
      <c r="D16" s="174">
        <v>27.45952677459527</v>
      </c>
      <c r="E16" s="175">
        <v>352</v>
      </c>
      <c r="F16" s="174">
        <v>44.388398486759144</v>
      </c>
      <c r="G16" s="405">
        <v>265</v>
      </c>
      <c r="H16" s="174">
        <v>32.960199004975124</v>
      </c>
      <c r="I16" s="496">
        <v>447</v>
      </c>
      <c r="J16" s="565">
        <v>38.23781009409752</v>
      </c>
      <c r="K16" s="496">
        <f>SUM(K17:K18)</f>
        <v>630</v>
      </c>
      <c r="L16" s="565">
        <f>+K16/K$25*100</f>
        <v>32.72727272727273</v>
      </c>
      <c r="M16" s="496">
        <f>SUM(M17:M18)</f>
        <v>642</v>
      </c>
      <c r="N16" s="497">
        <f>+M16/M$25*100</f>
        <v>44.367657221838286</v>
      </c>
    </row>
    <row r="17" spans="1:14" ht="12.75">
      <c r="A17" s="176" t="s">
        <v>69</v>
      </c>
      <c r="B17" s="168"/>
      <c r="C17" s="492">
        <v>410</v>
      </c>
      <c r="D17" s="174">
        <v>25.529265255292653</v>
      </c>
      <c r="E17" s="177">
        <v>352</v>
      </c>
      <c r="F17" s="174">
        <v>44.388398486759144</v>
      </c>
      <c r="G17" s="405">
        <v>265</v>
      </c>
      <c r="H17" s="174">
        <v>32.960199004975124</v>
      </c>
      <c r="I17" s="496">
        <v>415</v>
      </c>
      <c r="J17" s="565">
        <v>35.50042771599658</v>
      </c>
      <c r="K17" s="496">
        <v>604</v>
      </c>
      <c r="L17" s="565">
        <f>+K17/K$25*100</f>
        <v>31.376623376623375</v>
      </c>
      <c r="M17" s="496">
        <v>620</v>
      </c>
      <c r="N17" s="497">
        <f>+M17/M$25*100</f>
        <v>42.847270214236346</v>
      </c>
    </row>
    <row r="18" spans="1:14" ht="12.75">
      <c r="A18" s="176" t="s">
        <v>27</v>
      </c>
      <c r="B18" s="168"/>
      <c r="C18" s="492">
        <v>31</v>
      </c>
      <c r="D18" s="174">
        <v>1.9302615193026154</v>
      </c>
      <c r="E18" s="561" t="s">
        <v>252</v>
      </c>
      <c r="F18" s="562" t="s">
        <v>252</v>
      </c>
      <c r="G18" s="561" t="s">
        <v>252</v>
      </c>
      <c r="H18" s="562" t="s">
        <v>252</v>
      </c>
      <c r="I18" s="496">
        <v>32</v>
      </c>
      <c r="J18" s="565">
        <v>2.737382378100941</v>
      </c>
      <c r="K18" s="496">
        <f>23+3</f>
        <v>26</v>
      </c>
      <c r="L18" s="565">
        <f>+K18/K$25*100</f>
        <v>1.3506493506493507</v>
      </c>
      <c r="M18" s="496">
        <f>22</f>
        <v>22</v>
      </c>
      <c r="N18" s="497">
        <f>+M18/M$25*100</f>
        <v>1.520387007601935</v>
      </c>
    </row>
    <row r="19" spans="1:14" ht="12.75">
      <c r="A19" s="167"/>
      <c r="B19" s="168"/>
      <c r="C19" s="492"/>
      <c r="D19" s="174"/>
      <c r="E19" s="177"/>
      <c r="F19" s="174"/>
      <c r="G19" s="405"/>
      <c r="H19" s="174"/>
      <c r="I19" s="496"/>
      <c r="J19" s="565"/>
      <c r="K19" s="496"/>
      <c r="L19" s="565"/>
      <c r="M19" s="496"/>
      <c r="N19" s="497"/>
    </row>
    <row r="20" spans="1:14" ht="15" customHeight="1">
      <c r="A20" s="172" t="s">
        <v>28</v>
      </c>
      <c r="B20" s="168"/>
      <c r="C20" s="561" t="s">
        <v>252</v>
      </c>
      <c r="D20" s="562" t="s">
        <v>252</v>
      </c>
      <c r="E20" s="561" t="s">
        <v>252</v>
      </c>
      <c r="F20" s="562" t="s">
        <v>252</v>
      </c>
      <c r="G20" s="561" t="s">
        <v>252</v>
      </c>
      <c r="H20" s="562" t="s">
        <v>252</v>
      </c>
      <c r="I20" s="496">
        <v>20</v>
      </c>
      <c r="J20" s="565">
        <v>1.7108639863130881</v>
      </c>
      <c r="K20" s="496">
        <f>72+19+20</f>
        <v>111</v>
      </c>
      <c r="L20" s="565">
        <f>+K20/K$25*100</f>
        <v>5.766233766233767</v>
      </c>
      <c r="M20" s="496">
        <v>0</v>
      </c>
      <c r="N20" s="497">
        <f>+M20/M$25*100</f>
        <v>0</v>
      </c>
    </row>
    <row r="21" spans="1:14" ht="12.75">
      <c r="A21" s="176" t="s">
        <v>71</v>
      </c>
      <c r="B21" s="168"/>
      <c r="C21" s="492"/>
      <c r="D21" s="174"/>
      <c r="E21" s="177"/>
      <c r="F21" s="174"/>
      <c r="G21" s="405"/>
      <c r="H21" s="174"/>
      <c r="I21" s="496"/>
      <c r="J21" s="565"/>
      <c r="K21" s="496"/>
      <c r="L21" s="565"/>
      <c r="M21" s="496"/>
      <c r="N21" s="497"/>
    </row>
    <row r="22" spans="1:14" ht="15" customHeight="1">
      <c r="A22" s="172" t="s">
        <v>31</v>
      </c>
      <c r="B22" s="168"/>
      <c r="C22" s="561" t="s">
        <v>252</v>
      </c>
      <c r="D22" s="562" t="s">
        <v>252</v>
      </c>
      <c r="E22" s="173">
        <v>10</v>
      </c>
      <c r="F22" s="174">
        <v>1.2610340479192939</v>
      </c>
      <c r="G22" s="561" t="s">
        <v>252</v>
      </c>
      <c r="H22" s="562" t="s">
        <v>252</v>
      </c>
      <c r="I22" s="561">
        <v>0</v>
      </c>
      <c r="J22" s="562" t="s">
        <v>252</v>
      </c>
      <c r="K22" s="496">
        <f>5+11+65+143</f>
        <v>224</v>
      </c>
      <c r="L22" s="565">
        <f>+K22/K$25*100</f>
        <v>11.636363636363637</v>
      </c>
      <c r="M22" s="496">
        <f>33+6+30</f>
        <v>69</v>
      </c>
      <c r="N22" s="497">
        <f>+M22/M$25*100</f>
        <v>4.768486523842433</v>
      </c>
    </row>
    <row r="23" spans="1:14" ht="12.75">
      <c r="A23" s="176" t="s">
        <v>71</v>
      </c>
      <c r="B23" s="168"/>
      <c r="C23" s="492"/>
      <c r="D23" s="174"/>
      <c r="E23" s="177"/>
      <c r="F23" s="174"/>
      <c r="G23" s="405"/>
      <c r="H23" s="174"/>
      <c r="I23" s="496"/>
      <c r="J23" s="565"/>
      <c r="K23" s="496"/>
      <c r="L23" s="565"/>
      <c r="M23" s="496"/>
      <c r="N23" s="497"/>
    </row>
    <row r="24" spans="1:14" ht="15" customHeight="1">
      <c r="A24" s="172" t="s">
        <v>41</v>
      </c>
      <c r="B24" s="168"/>
      <c r="C24" s="561" t="s">
        <v>252</v>
      </c>
      <c r="D24" s="562" t="s">
        <v>252</v>
      </c>
      <c r="E24" s="561" t="s">
        <v>252</v>
      </c>
      <c r="F24" s="562" t="s">
        <v>252</v>
      </c>
      <c r="G24" s="561" t="s">
        <v>252</v>
      </c>
      <c r="H24" s="562" t="s">
        <v>252</v>
      </c>
      <c r="I24" s="496">
        <v>20</v>
      </c>
      <c r="J24" s="565">
        <v>1.7108639863130881</v>
      </c>
      <c r="K24" s="496">
        <f>8+30+13+210</f>
        <v>261</v>
      </c>
      <c r="L24" s="565">
        <f>+K24/K$25*100</f>
        <v>13.558441558441558</v>
      </c>
      <c r="M24" s="496">
        <f>31+30+5</f>
        <v>66</v>
      </c>
      <c r="N24" s="497">
        <f>+M24/M$25*100</f>
        <v>4.561161022805805</v>
      </c>
    </row>
    <row r="25" spans="1:14" ht="18.75" customHeight="1" thickBot="1">
      <c r="A25" s="178" t="s">
        <v>78</v>
      </c>
      <c r="B25" s="310"/>
      <c r="C25" s="493">
        <v>1606</v>
      </c>
      <c r="D25" s="180">
        <v>100</v>
      </c>
      <c r="E25" s="179">
        <v>793</v>
      </c>
      <c r="F25" s="180">
        <v>100</v>
      </c>
      <c r="G25" s="406">
        <v>804</v>
      </c>
      <c r="H25" s="180">
        <v>100</v>
      </c>
      <c r="I25" s="498">
        <v>1169</v>
      </c>
      <c r="J25" s="566">
        <v>100</v>
      </c>
      <c r="K25" s="498">
        <f>SUM(K7+K16+K20+K22+K24)</f>
        <v>1925</v>
      </c>
      <c r="L25" s="566">
        <f>+K25/K$25*100</f>
        <v>100</v>
      </c>
      <c r="M25" s="498">
        <f>SUM(M7+M16+M20+M22+M24)</f>
        <v>1447</v>
      </c>
      <c r="N25" s="499">
        <f>+M25/M$25*100</f>
        <v>100</v>
      </c>
    </row>
    <row r="26" spans="1:14" ht="13.5" thickTop="1">
      <c r="A26" s="181" t="s">
        <v>71</v>
      </c>
      <c r="B26" s="182"/>
      <c r="C26" s="183"/>
      <c r="D26" s="183"/>
      <c r="E26" s="183"/>
      <c r="F26" s="184"/>
      <c r="G26" s="183"/>
      <c r="H26" s="184"/>
      <c r="I26" s="407"/>
      <c r="J26" s="407"/>
      <c r="K26" s="183"/>
      <c r="L26" s="184"/>
      <c r="M26" s="183"/>
      <c r="N26" s="184"/>
    </row>
    <row r="27" spans="1:14" ht="12.75">
      <c r="A27" s="183"/>
      <c r="B27" s="182"/>
      <c r="C27" s="182"/>
      <c r="D27" s="185"/>
      <c r="E27" s="182"/>
      <c r="F27" s="182"/>
      <c r="G27" s="182"/>
      <c r="H27" s="182"/>
      <c r="I27" s="408"/>
      <c r="J27" s="408"/>
      <c r="K27" s="182"/>
      <c r="L27" s="182"/>
      <c r="M27" s="182"/>
      <c r="N27" s="182"/>
    </row>
    <row r="28" spans="9:10" ht="12">
      <c r="I28" s="409"/>
      <c r="J28" s="409"/>
    </row>
    <row r="29" spans="2:10" ht="12">
      <c r="B29" s="311" t="s">
        <v>71</v>
      </c>
      <c r="I29" s="409"/>
      <c r="J29" s="409"/>
    </row>
    <row r="30" spans="1:14" ht="12.75">
      <c r="A30" s="161"/>
      <c r="B30" s="308"/>
      <c r="C30" s="308"/>
      <c r="D30" s="308"/>
      <c r="E30" s="308"/>
      <c r="F30" s="308"/>
      <c r="G30" s="308"/>
      <c r="H30" s="308"/>
      <c r="I30" s="402"/>
      <c r="J30" s="402"/>
      <c r="K30" s="308"/>
      <c r="L30" s="308"/>
      <c r="M30" s="308"/>
      <c r="N30" s="308"/>
    </row>
    <row r="31" spans="1:14" ht="13.5" thickBot="1">
      <c r="A31" s="330" t="s">
        <v>212</v>
      </c>
      <c r="B31" s="162"/>
      <c r="C31" s="308"/>
      <c r="D31" s="308"/>
      <c r="E31" s="308"/>
      <c r="F31" s="308"/>
      <c r="G31" s="308"/>
      <c r="H31" s="308"/>
      <c r="I31" s="402"/>
      <c r="J31" s="402"/>
      <c r="K31" s="308"/>
      <c r="L31" s="308"/>
      <c r="M31" s="308"/>
      <c r="N31" s="308"/>
    </row>
    <row r="32" spans="1:14" ht="13.5" thickTop="1">
      <c r="A32" s="163" t="s">
        <v>57</v>
      </c>
      <c r="B32" s="164"/>
      <c r="C32" s="166">
        <v>2005</v>
      </c>
      <c r="D32" s="165"/>
      <c r="E32" s="166">
        <v>2006</v>
      </c>
      <c r="F32" s="166"/>
      <c r="G32" s="166">
        <v>2007</v>
      </c>
      <c r="H32" s="165"/>
      <c r="I32" s="166">
        <v>2008</v>
      </c>
      <c r="J32" s="165"/>
      <c r="K32" s="166">
        <v>2009</v>
      </c>
      <c r="L32" s="165"/>
      <c r="M32" s="592">
        <v>2010</v>
      </c>
      <c r="N32" s="593"/>
    </row>
    <row r="33" spans="1:17" ht="12.75">
      <c r="A33" s="167"/>
      <c r="B33" s="168"/>
      <c r="C33" s="171" t="s">
        <v>58</v>
      </c>
      <c r="D33" s="170" t="s">
        <v>59</v>
      </c>
      <c r="E33" s="169" t="s">
        <v>17</v>
      </c>
      <c r="F33" s="169" t="s">
        <v>18</v>
      </c>
      <c r="G33" s="171" t="s">
        <v>17</v>
      </c>
      <c r="H33" s="170" t="s">
        <v>18</v>
      </c>
      <c r="I33" s="171" t="s">
        <v>17</v>
      </c>
      <c r="J33" s="170" t="s">
        <v>18</v>
      </c>
      <c r="K33" s="171" t="s">
        <v>17</v>
      </c>
      <c r="L33" s="170" t="s">
        <v>18</v>
      </c>
      <c r="M33" s="494" t="s">
        <v>17</v>
      </c>
      <c r="N33" s="495" t="s">
        <v>18</v>
      </c>
      <c r="P33" s="371"/>
      <c r="Q33" s="372"/>
    </row>
    <row r="34" spans="1:17" ht="12.75">
      <c r="A34" s="172" t="s">
        <v>19</v>
      </c>
      <c r="B34" s="168"/>
      <c r="C34" s="173">
        <v>690</v>
      </c>
      <c r="D34" s="174">
        <v>86.14232209737828</v>
      </c>
      <c r="E34" s="173">
        <v>600</v>
      </c>
      <c r="F34" s="174">
        <v>65.71741511500548</v>
      </c>
      <c r="G34" s="410">
        <f>SUM(G35:G40)</f>
        <v>1033</v>
      </c>
      <c r="H34" s="565">
        <f aca="true" t="shared" si="1" ref="H34:H40">+G34/G$50*100</f>
        <v>85.16075845012367</v>
      </c>
      <c r="I34" s="173">
        <f>SUM(I35:I41)</f>
        <v>654</v>
      </c>
      <c r="J34" s="565">
        <f aca="true" t="shared" si="2" ref="J34:J41">+I34/I$50*100</f>
        <v>66.87116564417178</v>
      </c>
      <c r="K34" s="173">
        <f>SUM(K35:K41)</f>
        <v>343</v>
      </c>
      <c r="L34" s="565">
        <f>+K34/K$50*100</f>
        <v>91.46666666666667</v>
      </c>
      <c r="M34" s="173">
        <f>SUM(M35:M42)</f>
        <v>338</v>
      </c>
      <c r="N34" s="497">
        <f>+M34/M$50*100</f>
        <v>91.59891598915989</v>
      </c>
      <c r="P34" s="371"/>
      <c r="Q34" s="372"/>
    </row>
    <row r="35" spans="1:17" ht="12.75">
      <c r="A35" s="176" t="s">
        <v>55</v>
      </c>
      <c r="B35" s="168"/>
      <c r="C35" s="492">
        <v>422</v>
      </c>
      <c r="D35" s="174">
        <v>52.68414481897628</v>
      </c>
      <c r="E35" s="177">
        <v>391</v>
      </c>
      <c r="F35" s="174">
        <v>42.82584884994524</v>
      </c>
      <c r="G35" s="405">
        <v>396</v>
      </c>
      <c r="H35" s="565">
        <f t="shared" si="1"/>
        <v>32.64633140972795</v>
      </c>
      <c r="I35" s="496">
        <v>31</v>
      </c>
      <c r="J35" s="565">
        <f t="shared" si="2"/>
        <v>3.1697341513292434</v>
      </c>
      <c r="K35" s="561" t="s">
        <v>252</v>
      </c>
      <c r="L35" s="562" t="s">
        <v>252</v>
      </c>
      <c r="M35" s="563" t="s">
        <v>252</v>
      </c>
      <c r="N35" s="564" t="s">
        <v>252</v>
      </c>
      <c r="P35" s="371"/>
      <c r="Q35" s="372"/>
    </row>
    <row r="36" spans="1:17" ht="12.75">
      <c r="A36" s="176" t="s">
        <v>72</v>
      </c>
      <c r="B36" s="168"/>
      <c r="C36" s="492">
        <v>268</v>
      </c>
      <c r="D36" s="174">
        <v>33.458177278402</v>
      </c>
      <c r="E36" s="173">
        <v>149</v>
      </c>
      <c r="F36" s="174">
        <v>16.319824753559693</v>
      </c>
      <c r="G36" s="405">
        <v>123</v>
      </c>
      <c r="H36" s="565">
        <f t="shared" si="1"/>
        <v>10.1401483924155</v>
      </c>
      <c r="I36" s="496">
        <v>31</v>
      </c>
      <c r="J36" s="565">
        <f t="shared" si="2"/>
        <v>3.1697341513292434</v>
      </c>
      <c r="K36" s="496">
        <v>112</v>
      </c>
      <c r="L36" s="565">
        <f>+K36/K$50*100</f>
        <v>29.86666666666667</v>
      </c>
      <c r="M36" s="496">
        <v>28</v>
      </c>
      <c r="N36" s="497">
        <f>+M36/M$50*100</f>
        <v>7.588075880758807</v>
      </c>
      <c r="P36" s="371"/>
      <c r="Q36" s="372"/>
    </row>
    <row r="37" spans="1:17" ht="12.75">
      <c r="A37" s="176" t="s">
        <v>53</v>
      </c>
      <c r="B37" s="168"/>
      <c r="C37" s="561" t="s">
        <v>252</v>
      </c>
      <c r="D37" s="562" t="s">
        <v>252</v>
      </c>
      <c r="E37" s="175">
        <v>30</v>
      </c>
      <c r="F37" s="174">
        <v>3.285870755750274</v>
      </c>
      <c r="G37" s="405"/>
      <c r="H37" s="565">
        <f t="shared" si="1"/>
        <v>0</v>
      </c>
      <c r="I37" s="496">
        <v>55</v>
      </c>
      <c r="J37" s="565">
        <f t="shared" si="2"/>
        <v>5.623721881390593</v>
      </c>
      <c r="K37" s="496">
        <v>0</v>
      </c>
      <c r="L37" s="565">
        <f>+K37/K$50*100</f>
        <v>0</v>
      </c>
      <c r="M37" s="563" t="s">
        <v>252</v>
      </c>
      <c r="N37" s="564" t="s">
        <v>252</v>
      </c>
      <c r="P37" s="371"/>
      <c r="Q37" s="372"/>
    </row>
    <row r="38" spans="1:14" ht="12.75">
      <c r="A38" s="331" t="s">
        <v>213</v>
      </c>
      <c r="B38" s="168"/>
      <c r="C38" s="561" t="s">
        <v>252</v>
      </c>
      <c r="D38" s="562" t="s">
        <v>252</v>
      </c>
      <c r="E38" s="175">
        <v>30</v>
      </c>
      <c r="F38" s="174">
        <v>3.285870755750274</v>
      </c>
      <c r="G38" s="405">
        <v>362</v>
      </c>
      <c r="H38" s="565">
        <f t="shared" si="1"/>
        <v>29.843363561417974</v>
      </c>
      <c r="I38" s="496">
        <v>449</v>
      </c>
      <c r="J38" s="565">
        <f t="shared" si="2"/>
        <v>45.91002044989775</v>
      </c>
      <c r="K38" s="496">
        <v>146</v>
      </c>
      <c r="L38" s="565">
        <f>+K38/K$50*100</f>
        <v>38.93333333333333</v>
      </c>
      <c r="M38" s="496">
        <v>110</v>
      </c>
      <c r="N38" s="497">
        <f>+M38/M$50*100</f>
        <v>29.81029810298103</v>
      </c>
    </row>
    <row r="39" spans="1:14" ht="12.75">
      <c r="A39" s="331" t="s">
        <v>215</v>
      </c>
      <c r="B39" s="168"/>
      <c r="C39" s="561" t="s">
        <v>252</v>
      </c>
      <c r="D39" s="562" t="s">
        <v>252</v>
      </c>
      <c r="E39" s="561" t="s">
        <v>252</v>
      </c>
      <c r="F39" s="562" t="s">
        <v>252</v>
      </c>
      <c r="G39" s="561" t="s">
        <v>252</v>
      </c>
      <c r="H39" s="562" t="s">
        <v>252</v>
      </c>
      <c r="I39" s="561" t="s">
        <v>252</v>
      </c>
      <c r="J39" s="562" t="s">
        <v>252</v>
      </c>
      <c r="K39" s="561" t="s">
        <v>252</v>
      </c>
      <c r="L39" s="562" t="s">
        <v>252</v>
      </c>
      <c r="M39" s="496">
        <v>140</v>
      </c>
      <c r="N39" s="497">
        <f>+M39/M$50*100</f>
        <v>37.94037940379404</v>
      </c>
    </row>
    <row r="40" spans="1:14" ht="12.75">
      <c r="A40" s="331" t="s">
        <v>245</v>
      </c>
      <c r="B40" s="168"/>
      <c r="C40" s="561" t="s">
        <v>252</v>
      </c>
      <c r="D40" s="562" t="s">
        <v>252</v>
      </c>
      <c r="E40" s="561" t="s">
        <v>252</v>
      </c>
      <c r="F40" s="562" t="s">
        <v>252</v>
      </c>
      <c r="G40" s="405">
        <v>152</v>
      </c>
      <c r="H40" s="565">
        <f t="shared" si="1"/>
        <v>12.530915086562242</v>
      </c>
      <c r="I40" s="496">
        <v>57</v>
      </c>
      <c r="J40" s="565">
        <f t="shared" si="2"/>
        <v>5.828220858895705</v>
      </c>
      <c r="K40" s="496">
        <v>85</v>
      </c>
      <c r="L40" s="565">
        <f>+K40/K$50*100</f>
        <v>22.666666666666664</v>
      </c>
      <c r="M40" s="563" t="s">
        <v>252</v>
      </c>
      <c r="N40" s="564" t="s">
        <v>252</v>
      </c>
    </row>
    <row r="41" spans="1:14" ht="12.75">
      <c r="A41" s="331" t="s">
        <v>221</v>
      </c>
      <c r="B41" s="168"/>
      <c r="C41" s="561" t="s">
        <v>252</v>
      </c>
      <c r="D41" s="562" t="s">
        <v>252</v>
      </c>
      <c r="E41" s="561" t="s">
        <v>252</v>
      </c>
      <c r="F41" s="562" t="s">
        <v>252</v>
      </c>
      <c r="G41" s="561" t="s">
        <v>252</v>
      </c>
      <c r="H41" s="562" t="s">
        <v>252</v>
      </c>
      <c r="I41" s="496">
        <v>31</v>
      </c>
      <c r="J41" s="565">
        <f t="shared" si="2"/>
        <v>3.1697341513292434</v>
      </c>
      <c r="K41" s="561" t="s">
        <v>252</v>
      </c>
      <c r="L41" s="562" t="s">
        <v>252</v>
      </c>
      <c r="M41" s="563" t="s">
        <v>252</v>
      </c>
      <c r="N41" s="564" t="s">
        <v>252</v>
      </c>
    </row>
    <row r="42" spans="1:14" ht="12.75">
      <c r="A42" s="331" t="s">
        <v>251</v>
      </c>
      <c r="B42" s="168"/>
      <c r="C42" s="561" t="s">
        <v>252</v>
      </c>
      <c r="D42" s="562" t="s">
        <v>252</v>
      </c>
      <c r="E42" s="561" t="s">
        <v>252</v>
      </c>
      <c r="F42" s="562" t="s">
        <v>252</v>
      </c>
      <c r="G42" s="561" t="s">
        <v>252</v>
      </c>
      <c r="H42" s="562" t="s">
        <v>252</v>
      </c>
      <c r="I42" s="561" t="s">
        <v>252</v>
      </c>
      <c r="J42" s="562" t="s">
        <v>252</v>
      </c>
      <c r="K42" s="561" t="s">
        <v>252</v>
      </c>
      <c r="L42" s="562" t="s">
        <v>252</v>
      </c>
      <c r="M42" s="496">
        <v>60</v>
      </c>
      <c r="N42" s="497">
        <f>+M42/M$50*100</f>
        <v>16.260162601626014</v>
      </c>
    </row>
    <row r="43" spans="1:14" ht="12.75">
      <c r="A43" s="331"/>
      <c r="B43" s="168"/>
      <c r="C43" s="492"/>
      <c r="D43" s="174"/>
      <c r="E43" s="175"/>
      <c r="F43" s="174"/>
      <c r="G43" s="405"/>
      <c r="H43" s="565"/>
      <c r="I43" s="496"/>
      <c r="J43" s="565"/>
      <c r="K43" s="496"/>
      <c r="L43" s="565"/>
      <c r="M43" s="496"/>
      <c r="N43" s="497"/>
    </row>
    <row r="44" spans="1:14" ht="12.75">
      <c r="A44" s="172" t="s">
        <v>31</v>
      </c>
      <c r="B44" s="168"/>
      <c r="C44" s="561" t="s">
        <v>252</v>
      </c>
      <c r="D44" s="562" t="s">
        <v>252</v>
      </c>
      <c r="E44" s="175">
        <v>180</v>
      </c>
      <c r="F44" s="174">
        <v>19.715224534501644</v>
      </c>
      <c r="G44" s="405">
        <f>SUM(G45:G45)</f>
        <v>180</v>
      </c>
      <c r="H44" s="565">
        <f>+G44/G$50*100</f>
        <v>14.83924154987634</v>
      </c>
      <c r="I44" s="496">
        <f>SUM(I45:I45)</f>
        <v>324</v>
      </c>
      <c r="J44" s="565">
        <f>+I44/I$50*100</f>
        <v>33.12883435582822</v>
      </c>
      <c r="K44" s="496">
        <f>SUM(K45:K45)</f>
        <v>32</v>
      </c>
      <c r="L44" s="565">
        <f>+K44/K$50*100</f>
        <v>8.533333333333333</v>
      </c>
      <c r="M44" s="496">
        <f>SUM(M45:M45)</f>
        <v>31</v>
      </c>
      <c r="N44" s="497">
        <f>+M44/M$50*100</f>
        <v>8.401084010840108</v>
      </c>
    </row>
    <row r="45" spans="1:14" ht="12.75">
      <c r="A45" s="176" t="s">
        <v>240</v>
      </c>
      <c r="B45" s="168"/>
      <c r="C45" s="561" t="s">
        <v>252</v>
      </c>
      <c r="D45" s="562" t="s">
        <v>252</v>
      </c>
      <c r="E45" s="177">
        <v>180</v>
      </c>
      <c r="F45" s="174">
        <v>19.715224534501644</v>
      </c>
      <c r="G45" s="405">
        <v>180</v>
      </c>
      <c r="H45" s="565">
        <f>+G45/G$50*100</f>
        <v>14.83924154987634</v>
      </c>
      <c r="I45" s="496">
        <v>324</v>
      </c>
      <c r="J45" s="565">
        <f>+I45/I$50*100</f>
        <v>33.12883435582822</v>
      </c>
      <c r="K45" s="496">
        <v>32</v>
      </c>
      <c r="L45" s="565">
        <f>+K45/K$50*100</f>
        <v>8.533333333333333</v>
      </c>
      <c r="M45" s="496">
        <v>31</v>
      </c>
      <c r="N45" s="497">
        <f>+M45/M$50*100</f>
        <v>8.401084010840108</v>
      </c>
    </row>
    <row r="46" spans="1:14" ht="12.75">
      <c r="A46" s="176"/>
      <c r="B46" s="168"/>
      <c r="C46" s="492"/>
      <c r="D46" s="174"/>
      <c r="E46" s="177"/>
      <c r="F46" s="174"/>
      <c r="G46" s="405"/>
      <c r="H46" s="565"/>
      <c r="I46" s="496"/>
      <c r="J46" s="565"/>
      <c r="K46" s="496"/>
      <c r="L46" s="565"/>
      <c r="M46" s="496"/>
      <c r="N46" s="497"/>
    </row>
    <row r="47" spans="1:14" ht="12.75">
      <c r="A47" s="172" t="s">
        <v>24</v>
      </c>
      <c r="B47" s="168"/>
      <c r="C47" s="492">
        <v>111</v>
      </c>
      <c r="D47" s="174">
        <v>13.857677902621724</v>
      </c>
      <c r="E47" s="175">
        <v>133</v>
      </c>
      <c r="F47" s="174">
        <v>14.56736035049288</v>
      </c>
      <c r="G47" s="405">
        <f>SUM(G48:G48)</f>
        <v>0</v>
      </c>
      <c r="H47" s="565">
        <f>+G47/G$50*100</f>
        <v>0</v>
      </c>
      <c r="I47" s="496">
        <f>SUM(I48:I48)</f>
        <v>0</v>
      </c>
      <c r="J47" s="565">
        <f>+I47/I$50*100</f>
        <v>0</v>
      </c>
      <c r="K47" s="496">
        <f>SUM(K48:K48)</f>
        <v>0</v>
      </c>
      <c r="L47" s="565">
        <f>+K47/K$50*100</f>
        <v>0</v>
      </c>
      <c r="M47" s="496">
        <f>SUM(M48:M48)</f>
        <v>0</v>
      </c>
      <c r="N47" s="497">
        <f>+M47/M$50*100</f>
        <v>0</v>
      </c>
    </row>
    <row r="48" spans="1:14" ht="12.75">
      <c r="A48" s="176" t="s">
        <v>69</v>
      </c>
      <c r="B48" s="168"/>
      <c r="C48" s="492">
        <v>111</v>
      </c>
      <c r="D48" s="174">
        <v>13.857677902621724</v>
      </c>
      <c r="E48" s="177">
        <v>133</v>
      </c>
      <c r="F48" s="174">
        <v>14.56736035049288</v>
      </c>
      <c r="G48" s="561" t="s">
        <v>252</v>
      </c>
      <c r="H48" s="562" t="s">
        <v>252</v>
      </c>
      <c r="I48" s="561" t="s">
        <v>252</v>
      </c>
      <c r="J48" s="562" t="s">
        <v>252</v>
      </c>
      <c r="K48" s="561" t="s">
        <v>252</v>
      </c>
      <c r="L48" s="562" t="s">
        <v>252</v>
      </c>
      <c r="M48" s="561" t="s">
        <v>252</v>
      </c>
      <c r="N48" s="564" t="s">
        <v>252</v>
      </c>
    </row>
    <row r="49" spans="1:14" ht="12.75">
      <c r="A49" s="176"/>
      <c r="B49" s="168"/>
      <c r="C49" s="492"/>
      <c r="D49" s="174"/>
      <c r="E49" s="177"/>
      <c r="F49" s="174"/>
      <c r="G49" s="405"/>
      <c r="H49" s="565"/>
      <c r="I49" s="496"/>
      <c r="J49" s="565"/>
      <c r="K49" s="496"/>
      <c r="L49" s="565"/>
      <c r="M49" s="496"/>
      <c r="N49" s="497"/>
    </row>
    <row r="50" spans="1:14" ht="13.5" thickBot="1">
      <c r="A50" s="178" t="s">
        <v>78</v>
      </c>
      <c r="B50" s="310"/>
      <c r="C50" s="218">
        <v>801</v>
      </c>
      <c r="D50" s="180">
        <v>100</v>
      </c>
      <c r="E50" s="218">
        <v>913</v>
      </c>
      <c r="F50" s="180">
        <v>100</v>
      </c>
      <c r="G50" s="411">
        <f>SUM(G34+G44+G47)</f>
        <v>1213</v>
      </c>
      <c r="H50" s="566">
        <f>+G50/G$50*100</f>
        <v>100</v>
      </c>
      <c r="I50" s="218">
        <f>SUM(I34+I44+I47)</f>
        <v>978</v>
      </c>
      <c r="J50" s="566">
        <f>+I50/I$50*100</f>
        <v>100</v>
      </c>
      <c r="K50" s="218">
        <f>SUM(K34+K44+K47)</f>
        <v>375</v>
      </c>
      <c r="L50" s="566">
        <f>+K50/K$50*100</f>
        <v>100</v>
      </c>
      <c r="M50" s="218">
        <f>SUM(M34+M44+M47)</f>
        <v>369</v>
      </c>
      <c r="N50" s="499">
        <f>+M50/M$50*100</f>
        <v>100</v>
      </c>
    </row>
    <row r="51" spans="1:14" ht="13.5" thickTop="1">
      <c r="A51" s="181" t="s">
        <v>71</v>
      </c>
      <c r="B51" s="182"/>
      <c r="C51" s="183"/>
      <c r="D51" s="183"/>
      <c r="E51" s="183"/>
      <c r="F51" s="184"/>
      <c r="G51" s="183"/>
      <c r="H51" s="184"/>
      <c r="I51" s="184"/>
      <c r="J51" s="184"/>
      <c r="K51" s="183"/>
      <c r="L51" s="184"/>
      <c r="M51" s="183"/>
      <c r="N51" s="184"/>
    </row>
    <row r="52" spans="1:14" ht="12.75">
      <c r="A52" s="183"/>
      <c r="B52" s="182"/>
      <c r="C52" s="182"/>
      <c r="D52" s="185"/>
      <c r="E52" s="182"/>
      <c r="F52" s="182"/>
      <c r="G52" s="182"/>
      <c r="H52" s="182"/>
      <c r="I52" s="182"/>
      <c r="J52" s="182"/>
      <c r="K52" s="182"/>
      <c r="L52" s="182"/>
      <c r="M52" s="182"/>
      <c r="N52" s="182"/>
    </row>
  </sheetData>
  <sheetProtection/>
  <mergeCells count="2">
    <mergeCell ref="M5:N5"/>
    <mergeCell ref="M32:N32"/>
  </mergeCells>
  <printOptions horizontalCentered="1" verticalCentered="1"/>
  <pageMargins left="0.1968503937007874" right="0.1968503937007874" top="0.7874015748031497" bottom="0.7874015748031497" header="0.5118110236220472" footer="0.5118110236220472"/>
  <pageSetup fitToHeight="1" fitToWidth="1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8">
    <pageSetUpPr fitToPage="1"/>
  </sheetPr>
  <dimension ref="A1:N58"/>
  <sheetViews>
    <sheetView showGridLines="0" zoomScale="75" zoomScaleNormal="75" zoomScalePageLayoutView="0" workbookViewId="0" topLeftCell="A1">
      <selection activeCell="P7" sqref="P7"/>
    </sheetView>
  </sheetViews>
  <sheetFormatPr defaultColWidth="10.28125" defaultRowHeight="12.75"/>
  <cols>
    <col min="1" max="2" width="10.28125" style="303" customWidth="1"/>
    <col min="3" max="8" width="6.421875" style="303" customWidth="1"/>
    <col min="9" max="9" width="7.421875" style="303" bestFit="1" customWidth="1"/>
    <col min="10" max="14" width="6.421875" style="303" customWidth="1"/>
    <col min="15" max="16384" width="10.28125" style="303" customWidth="1"/>
  </cols>
  <sheetData>
    <row r="1" spans="1:14" ht="12.75">
      <c r="A1" s="143" t="s">
        <v>230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</row>
    <row r="2" spans="1:14" ht="13.5" thickBot="1">
      <c r="A2" s="143" t="s">
        <v>15</v>
      </c>
      <c r="B2" s="144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</row>
    <row r="3" spans="1:14" s="304" customFormat="1" ht="19.5" customHeight="1" thickTop="1">
      <c r="A3" s="145" t="s">
        <v>57</v>
      </c>
      <c r="B3" s="146"/>
      <c r="C3" s="504">
        <v>2005</v>
      </c>
      <c r="D3" s="249"/>
      <c r="E3" s="248">
        <v>2006</v>
      </c>
      <c r="F3" s="249"/>
      <c r="G3" s="248">
        <v>2007</v>
      </c>
      <c r="H3" s="249"/>
      <c r="I3" s="248">
        <v>2008</v>
      </c>
      <c r="J3" s="249"/>
      <c r="K3" s="248">
        <v>2009</v>
      </c>
      <c r="L3" s="249"/>
      <c r="M3" s="248">
        <v>2010</v>
      </c>
      <c r="N3" s="500"/>
    </row>
    <row r="4" spans="1:14" s="304" customFormat="1" ht="15" customHeight="1">
      <c r="A4" s="147"/>
      <c r="B4" s="148"/>
      <c r="C4" s="250" t="s">
        <v>58</v>
      </c>
      <c r="D4" s="251" t="s">
        <v>59</v>
      </c>
      <c r="E4" s="250" t="s">
        <v>58</v>
      </c>
      <c r="F4" s="251" t="s">
        <v>59</v>
      </c>
      <c r="G4" s="250" t="s">
        <v>58</v>
      </c>
      <c r="H4" s="251" t="s">
        <v>59</v>
      </c>
      <c r="I4" s="250" t="s">
        <v>58</v>
      </c>
      <c r="J4" s="251" t="s">
        <v>59</v>
      </c>
      <c r="K4" s="250" t="s">
        <v>58</v>
      </c>
      <c r="L4" s="251" t="s">
        <v>59</v>
      </c>
      <c r="M4" s="250" t="s">
        <v>58</v>
      </c>
      <c r="N4" s="501" t="s">
        <v>59</v>
      </c>
    </row>
    <row r="5" spans="1:14" ht="15" customHeight="1">
      <c r="A5" s="149" t="s">
        <v>19</v>
      </c>
      <c r="B5" s="150"/>
      <c r="C5" s="252">
        <v>17177</v>
      </c>
      <c r="D5" s="253">
        <v>61.983978060046184</v>
      </c>
      <c r="E5" s="252">
        <v>16071</v>
      </c>
      <c r="F5" s="253">
        <v>61.695266612921806</v>
      </c>
      <c r="G5" s="252">
        <v>17138</v>
      </c>
      <c r="H5" s="253">
        <v>58.56342263531985</v>
      </c>
      <c r="I5" s="252">
        <v>17425</v>
      </c>
      <c r="J5" s="253">
        <v>63.33599883687119</v>
      </c>
      <c r="K5" s="252">
        <v>17241</v>
      </c>
      <c r="L5" s="253">
        <v>69.54259438528557</v>
      </c>
      <c r="M5" s="252">
        <f>SUM(M6:M20)</f>
        <v>17695</v>
      </c>
      <c r="N5" s="502">
        <f aca="true" t="shared" si="0" ref="N5:N20">+M5/M$51*100</f>
        <v>62.931218436588665</v>
      </c>
    </row>
    <row r="6" spans="1:14" ht="12.75">
      <c r="A6" s="151" t="s">
        <v>53</v>
      </c>
      <c r="B6" s="150"/>
      <c r="C6" s="152">
        <v>205</v>
      </c>
      <c r="D6" s="253">
        <v>0.7397517321016166</v>
      </c>
      <c r="E6" s="152">
        <v>185</v>
      </c>
      <c r="F6" s="253">
        <v>0.710200007677838</v>
      </c>
      <c r="G6" s="152">
        <v>113</v>
      </c>
      <c r="H6" s="253">
        <v>0.3861399671951886</v>
      </c>
      <c r="I6" s="152">
        <v>91</v>
      </c>
      <c r="J6" s="253">
        <v>0.33076475719685955</v>
      </c>
      <c r="K6" s="152">
        <v>69</v>
      </c>
      <c r="L6" s="253">
        <v>0.2783155856727977</v>
      </c>
      <c r="M6" s="152">
        <v>103</v>
      </c>
      <c r="N6" s="502">
        <f t="shared" si="0"/>
        <v>0.36631339355572945</v>
      </c>
    </row>
    <row r="7" spans="1:14" ht="12.75">
      <c r="A7" s="151" t="s">
        <v>55</v>
      </c>
      <c r="B7" s="150"/>
      <c r="C7" s="152">
        <v>1379</v>
      </c>
      <c r="D7" s="253">
        <v>4.976183602771362</v>
      </c>
      <c r="E7" s="152">
        <v>1282</v>
      </c>
      <c r="F7" s="253">
        <v>4.921494107259396</v>
      </c>
      <c r="G7" s="152">
        <v>1333</v>
      </c>
      <c r="H7" s="253">
        <v>4.555084745762712</v>
      </c>
      <c r="I7" s="152">
        <v>978</v>
      </c>
      <c r="J7" s="253">
        <v>3.5548124454783365</v>
      </c>
      <c r="K7" s="152">
        <v>1343</v>
      </c>
      <c r="L7" s="253">
        <v>5.417070022587931</v>
      </c>
      <c r="M7" s="152">
        <v>1208</v>
      </c>
      <c r="N7" s="502">
        <f t="shared" si="0"/>
        <v>4.296180382673021</v>
      </c>
    </row>
    <row r="8" spans="1:14" ht="12.75">
      <c r="A8" s="151" t="s">
        <v>60</v>
      </c>
      <c r="B8" s="150"/>
      <c r="C8" s="152">
        <v>819</v>
      </c>
      <c r="D8" s="253">
        <v>2.9553983833718247</v>
      </c>
      <c r="E8" s="152">
        <v>869</v>
      </c>
      <c r="F8" s="253">
        <v>3.3360205766056277</v>
      </c>
      <c r="G8" s="152">
        <v>964</v>
      </c>
      <c r="H8" s="253">
        <v>3.2941498086386</v>
      </c>
      <c r="I8" s="152">
        <v>937</v>
      </c>
      <c r="J8" s="253">
        <v>3.405786565862169</v>
      </c>
      <c r="K8" s="152">
        <v>1621</v>
      </c>
      <c r="L8" s="253">
        <v>6.5383994837044215</v>
      </c>
      <c r="M8" s="152">
        <v>785</v>
      </c>
      <c r="N8" s="502">
        <f t="shared" si="0"/>
        <v>2.791805960594637</v>
      </c>
    </row>
    <row r="9" spans="1:14" ht="12.75">
      <c r="A9" s="151" t="s">
        <v>79</v>
      </c>
      <c r="B9" s="150"/>
      <c r="C9" s="152">
        <v>847</v>
      </c>
      <c r="D9" s="253">
        <v>3.0564376443418015</v>
      </c>
      <c r="E9" s="152">
        <v>1246</v>
      </c>
      <c r="F9" s="253">
        <v>4.783293024684249</v>
      </c>
      <c r="G9" s="152">
        <v>1036</v>
      </c>
      <c r="H9" s="253">
        <v>3.5401858939311097</v>
      </c>
      <c r="I9" s="152">
        <v>1106</v>
      </c>
      <c r="J9" s="253">
        <v>4.020063972084909</v>
      </c>
      <c r="K9" s="152">
        <v>974</v>
      </c>
      <c r="L9" s="253">
        <v>3.9286866731203616</v>
      </c>
      <c r="M9" s="152">
        <v>1162</v>
      </c>
      <c r="N9" s="502">
        <f t="shared" si="0"/>
        <v>4.132584109822889</v>
      </c>
    </row>
    <row r="10" spans="1:14" ht="12.75">
      <c r="A10" s="151" t="s">
        <v>21</v>
      </c>
      <c r="B10" s="150"/>
      <c r="C10" s="152">
        <v>328</v>
      </c>
      <c r="D10" s="253">
        <v>1.1836027713625865</v>
      </c>
      <c r="E10" s="152">
        <v>312</v>
      </c>
      <c r="F10" s="253">
        <v>1.1977427156512725</v>
      </c>
      <c r="G10" s="152">
        <v>186</v>
      </c>
      <c r="H10" s="253">
        <v>0.6355932203389831</v>
      </c>
      <c r="I10" s="152">
        <v>313</v>
      </c>
      <c r="J10" s="253">
        <v>1.1376853736551322</v>
      </c>
      <c r="K10" s="152">
        <v>56</v>
      </c>
      <c r="L10" s="253">
        <v>0.22587931590835753</v>
      </c>
      <c r="M10" s="152">
        <v>88</v>
      </c>
      <c r="N10" s="502">
        <f t="shared" si="0"/>
        <v>0.31296678284373003</v>
      </c>
    </row>
    <row r="11" spans="1:14" ht="12.75">
      <c r="A11" s="151" t="s">
        <v>72</v>
      </c>
      <c r="B11" s="150"/>
      <c r="C11" s="152">
        <v>242</v>
      </c>
      <c r="D11" s="253">
        <v>0.8732678983833718</v>
      </c>
      <c r="E11" s="152">
        <v>287</v>
      </c>
      <c r="F11" s="253">
        <v>1.1017697416407541</v>
      </c>
      <c r="G11" s="152">
        <v>311</v>
      </c>
      <c r="H11" s="253">
        <v>1.06273920174959</v>
      </c>
      <c r="I11" s="152">
        <v>259</v>
      </c>
      <c r="J11" s="253">
        <v>0.9414073858679848</v>
      </c>
      <c r="K11" s="152">
        <v>633</v>
      </c>
      <c r="L11" s="253">
        <v>2.55324298160697</v>
      </c>
      <c r="M11" s="152">
        <v>462</v>
      </c>
      <c r="N11" s="502">
        <f t="shared" si="0"/>
        <v>1.6430756099295827</v>
      </c>
    </row>
    <row r="12" spans="1:14" ht="12.75">
      <c r="A12" s="151" t="s">
        <v>63</v>
      </c>
      <c r="B12" s="150"/>
      <c r="C12" s="152">
        <v>5079</v>
      </c>
      <c r="D12" s="253">
        <v>18.327800230946885</v>
      </c>
      <c r="E12" s="152">
        <v>4133</v>
      </c>
      <c r="F12" s="253">
        <v>15.866252063418942</v>
      </c>
      <c r="G12" s="152">
        <v>6319</v>
      </c>
      <c r="H12" s="253">
        <v>21.593083652268998</v>
      </c>
      <c r="I12" s="152">
        <v>4493</v>
      </c>
      <c r="J12" s="253">
        <v>16.33105553940099</v>
      </c>
      <c r="K12" s="152">
        <v>3831</v>
      </c>
      <c r="L12" s="253">
        <v>15.452565343659245</v>
      </c>
      <c r="M12" s="152">
        <v>4429</v>
      </c>
      <c r="N12" s="502">
        <f t="shared" si="0"/>
        <v>15.751475922896367</v>
      </c>
    </row>
    <row r="13" spans="1:14" ht="12.75">
      <c r="A13" s="151" t="s">
        <v>80</v>
      </c>
      <c r="B13" s="150"/>
      <c r="C13" s="152">
        <v>2</v>
      </c>
      <c r="D13" s="253">
        <v>0.007217090069284064</v>
      </c>
      <c r="E13" s="152">
        <v>54</v>
      </c>
      <c r="F13" s="253">
        <v>0.20730162386272027</v>
      </c>
      <c r="G13" s="152">
        <v>4</v>
      </c>
      <c r="H13" s="253">
        <v>0.013668671405139419</v>
      </c>
      <c r="I13" s="152">
        <v>3</v>
      </c>
      <c r="J13" s="253">
        <v>0.010904332654841524</v>
      </c>
      <c r="K13" s="152">
        <v>6</v>
      </c>
      <c r="L13" s="253">
        <v>0.02420135527589545</v>
      </c>
      <c r="M13" s="152">
        <v>2</v>
      </c>
      <c r="N13" s="502">
        <f t="shared" si="0"/>
        <v>0.007112881428266591</v>
      </c>
    </row>
    <row r="14" spans="1:14" ht="12.75">
      <c r="A14" s="151" t="s">
        <v>54</v>
      </c>
      <c r="B14" s="150"/>
      <c r="C14" s="152">
        <v>977</v>
      </c>
      <c r="D14" s="253">
        <v>3.5255484988452657</v>
      </c>
      <c r="E14" s="152">
        <v>977</v>
      </c>
      <c r="F14" s="253">
        <v>3.7506238243310683</v>
      </c>
      <c r="G14" s="152">
        <v>846</v>
      </c>
      <c r="H14" s="253">
        <v>2.8909240021869875</v>
      </c>
      <c r="I14" s="152">
        <v>923</v>
      </c>
      <c r="J14" s="253">
        <v>3.3548996801395754</v>
      </c>
      <c r="K14" s="152">
        <v>1025</v>
      </c>
      <c r="L14" s="253">
        <v>4.134398192965473</v>
      </c>
      <c r="M14" s="152">
        <v>830</v>
      </c>
      <c r="N14" s="502">
        <f t="shared" si="0"/>
        <v>2.951845792730635</v>
      </c>
    </row>
    <row r="15" spans="1:14" ht="12.75">
      <c r="A15" s="151" t="s">
        <v>81</v>
      </c>
      <c r="B15" s="150"/>
      <c r="C15" s="152">
        <v>567</v>
      </c>
      <c r="D15" s="253">
        <v>2.0460450346420322</v>
      </c>
      <c r="E15" s="152">
        <v>722</v>
      </c>
      <c r="F15" s="253">
        <v>2.7716994894237783</v>
      </c>
      <c r="G15" s="152">
        <v>650</v>
      </c>
      <c r="H15" s="253">
        <v>2.2211591033351556</v>
      </c>
      <c r="I15" s="152">
        <v>700</v>
      </c>
      <c r="J15" s="253">
        <v>2.544344286129689</v>
      </c>
      <c r="K15" s="152">
        <v>587</v>
      </c>
      <c r="L15" s="253">
        <v>2.367699257825105</v>
      </c>
      <c r="M15" s="152">
        <v>561</v>
      </c>
      <c r="N15" s="502">
        <f t="shared" si="0"/>
        <v>1.995163240628779</v>
      </c>
    </row>
    <row r="16" spans="1:14" ht="12.75">
      <c r="A16" s="151" t="s">
        <v>74</v>
      </c>
      <c r="B16" s="150"/>
      <c r="C16" s="152">
        <v>2160</v>
      </c>
      <c r="D16" s="253">
        <v>7.794457274826789</v>
      </c>
      <c r="E16" s="152">
        <v>1914</v>
      </c>
      <c r="F16" s="253">
        <v>7.347690890245307</v>
      </c>
      <c r="G16" s="152">
        <v>2077</v>
      </c>
      <c r="H16" s="253">
        <v>7.0974576271186445</v>
      </c>
      <c r="I16" s="152">
        <v>2235</v>
      </c>
      <c r="J16" s="253">
        <v>8.123727827856936</v>
      </c>
      <c r="K16" s="152">
        <v>2616</v>
      </c>
      <c r="L16" s="253">
        <v>10.551790900290415</v>
      </c>
      <c r="M16" s="152">
        <v>2670</v>
      </c>
      <c r="N16" s="502">
        <f t="shared" si="0"/>
        <v>9.495696706735899</v>
      </c>
    </row>
    <row r="17" spans="1:14" ht="12.75">
      <c r="A17" s="151" t="s">
        <v>82</v>
      </c>
      <c r="B17" s="150"/>
      <c r="C17" s="152">
        <v>186</v>
      </c>
      <c r="D17" s="253">
        <v>0.671189376443418</v>
      </c>
      <c r="E17" s="152">
        <v>477</v>
      </c>
      <c r="F17" s="253">
        <v>1.8311643441206955</v>
      </c>
      <c r="G17" s="152">
        <v>231</v>
      </c>
      <c r="H17" s="253">
        <v>0.7893657736468015</v>
      </c>
      <c r="I17" s="152">
        <v>201</v>
      </c>
      <c r="J17" s="253">
        <v>0.7305902878743821</v>
      </c>
      <c r="K17" s="152">
        <v>235</v>
      </c>
      <c r="L17" s="253">
        <v>0.9478864149725718</v>
      </c>
      <c r="M17" s="152">
        <v>80</v>
      </c>
      <c r="N17" s="502">
        <f t="shared" si="0"/>
        <v>0.2845152571306636</v>
      </c>
    </row>
    <row r="18" spans="1:14" ht="12.75">
      <c r="A18" s="151" t="s">
        <v>64</v>
      </c>
      <c r="B18" s="150"/>
      <c r="C18" s="152">
        <v>1653</v>
      </c>
      <c r="D18" s="253">
        <v>5.964924942263279</v>
      </c>
      <c r="E18" s="152">
        <v>941</v>
      </c>
      <c r="F18" s="253">
        <v>3.612422741755922</v>
      </c>
      <c r="G18" s="152">
        <v>455</v>
      </c>
      <c r="H18" s="253">
        <v>1.554811372334609</v>
      </c>
      <c r="I18" s="152">
        <v>1254</v>
      </c>
      <c r="J18" s="253">
        <v>4.558011049723757</v>
      </c>
      <c r="K18" s="152">
        <v>1022</v>
      </c>
      <c r="L18" s="253">
        <v>4.122297515327525</v>
      </c>
      <c r="M18" s="152">
        <v>1580</v>
      </c>
      <c r="N18" s="502">
        <f t="shared" si="0"/>
        <v>5.619176328330607</v>
      </c>
    </row>
    <row r="19" spans="1:14" ht="12.75">
      <c r="A19" s="151" t="s">
        <v>62</v>
      </c>
      <c r="B19" s="150"/>
      <c r="C19" s="152">
        <v>80</v>
      </c>
      <c r="D19" s="253">
        <v>0.28868360277136257</v>
      </c>
      <c r="E19" s="152">
        <v>208</v>
      </c>
      <c r="F19" s="253">
        <v>0.798495143767515</v>
      </c>
      <c r="G19" s="152">
        <v>250</v>
      </c>
      <c r="H19" s="253">
        <v>0.8542919628212138</v>
      </c>
      <c r="I19" s="152">
        <v>168</v>
      </c>
      <c r="J19" s="253">
        <v>0.6106426286711254</v>
      </c>
      <c r="K19" s="152">
        <v>377</v>
      </c>
      <c r="L19" s="253">
        <v>1.5206518231687642</v>
      </c>
      <c r="M19" s="152">
        <v>130</v>
      </c>
      <c r="N19" s="502">
        <f t="shared" si="0"/>
        <v>0.46233729283732844</v>
      </c>
    </row>
    <row r="20" spans="1:14" ht="12.75">
      <c r="A20" s="151" t="s">
        <v>27</v>
      </c>
      <c r="B20" s="150"/>
      <c r="C20" s="152">
        <v>2653</v>
      </c>
      <c r="D20" s="253">
        <v>9.573469976905312</v>
      </c>
      <c r="E20" s="152">
        <v>2464</v>
      </c>
      <c r="F20" s="253">
        <v>9.459096318476718</v>
      </c>
      <c r="G20" s="152">
        <v>2363</v>
      </c>
      <c r="H20" s="253">
        <v>8.074767632586113</v>
      </c>
      <c r="I20" s="152">
        <v>3764</v>
      </c>
      <c r="J20" s="253">
        <v>13.681302704274497</v>
      </c>
      <c r="K20" s="152">
        <v>2846</v>
      </c>
      <c r="L20" s="253">
        <v>11.479509519199741</v>
      </c>
      <c r="M20" s="152">
        <f>214+2+601+2+1+826+2+30+1+42+16+3+14+1+25+1467+16+55+6+278+3</f>
        <v>3605</v>
      </c>
      <c r="N20" s="502">
        <f t="shared" si="0"/>
        <v>12.820968774450531</v>
      </c>
    </row>
    <row r="21" spans="1:14" ht="12.75">
      <c r="A21" s="151" t="s">
        <v>71</v>
      </c>
      <c r="B21" s="150"/>
      <c r="C21" s="152"/>
      <c r="D21" s="253"/>
      <c r="E21" s="152"/>
      <c r="F21" s="253"/>
      <c r="G21" s="152"/>
      <c r="H21" s="253"/>
      <c r="I21" s="152"/>
      <c r="J21" s="253"/>
      <c r="K21" s="152"/>
      <c r="L21" s="253"/>
      <c r="M21" s="152"/>
      <c r="N21" s="502"/>
    </row>
    <row r="22" spans="1:14" ht="15" customHeight="1">
      <c r="A22" s="149" t="s">
        <v>24</v>
      </c>
      <c r="B22" s="150"/>
      <c r="C22" s="252">
        <v>3017</v>
      </c>
      <c r="D22" s="253">
        <v>10.886980369515012</v>
      </c>
      <c r="E22" s="252">
        <v>3173</v>
      </c>
      <c r="F22" s="253">
        <v>12.180889861415025</v>
      </c>
      <c r="G22" s="252">
        <v>4298</v>
      </c>
      <c r="H22" s="253">
        <v>14.686987424822306</v>
      </c>
      <c r="I22" s="252">
        <v>3167</v>
      </c>
      <c r="J22" s="253">
        <v>11.511340505961035</v>
      </c>
      <c r="K22" s="252">
        <v>1087</v>
      </c>
      <c r="L22" s="253">
        <v>4.384478864149726</v>
      </c>
      <c r="M22" s="252">
        <f>SUM(M23:M25)</f>
        <v>2081</v>
      </c>
      <c r="N22" s="502">
        <f>+M22/M$51*100</f>
        <v>7.400953126111388</v>
      </c>
    </row>
    <row r="23" spans="1:14" ht="12.75">
      <c r="A23" s="151" t="s">
        <v>83</v>
      </c>
      <c r="B23" s="150"/>
      <c r="C23" s="252">
        <v>29</v>
      </c>
      <c r="D23" s="253">
        <v>0.10464780600461894</v>
      </c>
      <c r="E23" s="252">
        <v>58</v>
      </c>
      <c r="F23" s="253">
        <v>0.22265729970440323</v>
      </c>
      <c r="G23" s="252">
        <v>172</v>
      </c>
      <c r="H23" s="253">
        <v>0.5877528704209951</v>
      </c>
      <c r="I23" s="252">
        <v>115</v>
      </c>
      <c r="J23" s="253">
        <v>0.4179994184355917</v>
      </c>
      <c r="K23" s="252">
        <v>94</v>
      </c>
      <c r="L23" s="253">
        <v>0.37915456598902875</v>
      </c>
      <c r="M23" s="252">
        <v>160</v>
      </c>
      <c r="N23" s="502">
        <f>+M23/M$51*100</f>
        <v>0.5690305142613272</v>
      </c>
    </row>
    <row r="24" spans="1:14" ht="12.75">
      <c r="A24" s="151" t="s">
        <v>69</v>
      </c>
      <c r="B24" s="150"/>
      <c r="C24" s="152">
        <v>2032</v>
      </c>
      <c r="D24" s="253">
        <v>7.332563510392609</v>
      </c>
      <c r="E24" s="152">
        <v>2150</v>
      </c>
      <c r="F24" s="253">
        <v>8.253675764904603</v>
      </c>
      <c r="G24" s="152">
        <v>2196</v>
      </c>
      <c r="H24" s="253">
        <v>7.504100601421541</v>
      </c>
      <c r="I24" s="152">
        <v>2029</v>
      </c>
      <c r="J24" s="253">
        <v>7.3749636522244835</v>
      </c>
      <c r="K24" s="152">
        <v>788</v>
      </c>
      <c r="L24" s="253">
        <v>3.178444659567602</v>
      </c>
      <c r="M24" s="152">
        <v>1316</v>
      </c>
      <c r="N24" s="502">
        <f>+M24/M$51*100</f>
        <v>4.680275979799417</v>
      </c>
    </row>
    <row r="25" spans="1:14" ht="12.75">
      <c r="A25" s="151" t="s">
        <v>27</v>
      </c>
      <c r="B25" s="150"/>
      <c r="C25" s="152">
        <v>956</v>
      </c>
      <c r="D25" s="253">
        <v>3.449769053117783</v>
      </c>
      <c r="E25" s="152">
        <v>965</v>
      </c>
      <c r="F25" s="253">
        <v>3.7045567968060196</v>
      </c>
      <c r="G25" s="152">
        <v>1930</v>
      </c>
      <c r="H25" s="253">
        <v>6.59513395297977</v>
      </c>
      <c r="I25" s="152">
        <v>1023</v>
      </c>
      <c r="J25" s="253">
        <v>3.7183774353009595</v>
      </c>
      <c r="K25" s="152">
        <v>205</v>
      </c>
      <c r="L25" s="253">
        <v>0.8268796385930945</v>
      </c>
      <c r="M25" s="152">
        <f>100+1+64+38+341+45+16</f>
        <v>605</v>
      </c>
      <c r="N25" s="502">
        <f>+M25/M$51*100</f>
        <v>2.1516466320506438</v>
      </c>
    </row>
    <row r="26" spans="1:14" ht="12.75">
      <c r="A26" s="153"/>
      <c r="B26" s="150"/>
      <c r="C26" s="152"/>
      <c r="D26" s="253"/>
      <c r="E26" s="152"/>
      <c r="F26" s="253"/>
      <c r="G26" s="152"/>
      <c r="H26" s="253"/>
      <c r="I26" s="152"/>
      <c r="J26" s="253"/>
      <c r="K26" s="152"/>
      <c r="L26" s="253"/>
      <c r="M26" s="152"/>
      <c r="N26" s="502"/>
    </row>
    <row r="27" spans="1:14" ht="15" customHeight="1">
      <c r="A27" s="149" t="s">
        <v>28</v>
      </c>
      <c r="B27" s="150"/>
      <c r="C27" s="252">
        <v>545</v>
      </c>
      <c r="D27" s="253">
        <v>1.9666570438799074</v>
      </c>
      <c r="E27" s="252">
        <v>301</v>
      </c>
      <c r="F27" s="253">
        <v>1.1555146070866444</v>
      </c>
      <c r="G27" s="252">
        <v>618</v>
      </c>
      <c r="H27" s="253">
        <v>2.1118097320940405</v>
      </c>
      <c r="I27" s="252">
        <v>532</v>
      </c>
      <c r="J27" s="253">
        <v>1.9337016574585635</v>
      </c>
      <c r="K27" s="252">
        <v>584</v>
      </c>
      <c r="L27" s="253">
        <v>2.355598580187157</v>
      </c>
      <c r="M27" s="252">
        <f>SUM(M28:M32)</f>
        <v>468</v>
      </c>
      <c r="N27" s="502">
        <f aca="true" t="shared" si="1" ref="N27:N32">+M27/M$51*100</f>
        <v>1.6644142542143823</v>
      </c>
    </row>
    <row r="28" spans="1:14" ht="12.75">
      <c r="A28" s="151" t="s">
        <v>84</v>
      </c>
      <c r="B28" s="150"/>
      <c r="C28" s="252">
        <v>12</v>
      </c>
      <c r="D28" s="253">
        <v>0.04330254041570439</v>
      </c>
      <c r="E28" s="567" t="s">
        <v>252</v>
      </c>
      <c r="F28" s="568" t="s">
        <v>252</v>
      </c>
      <c r="G28" s="567" t="s">
        <v>252</v>
      </c>
      <c r="H28" s="568" t="s">
        <v>252</v>
      </c>
      <c r="I28" s="570">
        <v>4</v>
      </c>
      <c r="J28" s="571">
        <v>0.014539110206455364</v>
      </c>
      <c r="K28" s="570">
        <v>5</v>
      </c>
      <c r="L28" s="571">
        <v>0.02016779606324621</v>
      </c>
      <c r="M28" s="567" t="s">
        <v>252</v>
      </c>
      <c r="N28" s="569" t="s">
        <v>252</v>
      </c>
    </row>
    <row r="29" spans="1:14" ht="12.75">
      <c r="A29" s="151" t="s">
        <v>30</v>
      </c>
      <c r="B29" s="150"/>
      <c r="C29" s="252">
        <v>83</v>
      </c>
      <c r="D29" s="253">
        <v>0.29950923787528866</v>
      </c>
      <c r="E29" s="252">
        <v>47</v>
      </c>
      <c r="F29" s="253">
        <v>0.18042919113977504</v>
      </c>
      <c r="G29" s="252">
        <v>97</v>
      </c>
      <c r="H29" s="253">
        <v>0.33146528157463095</v>
      </c>
      <c r="I29" s="252">
        <v>41</v>
      </c>
      <c r="J29" s="253">
        <v>0.1490258796161675</v>
      </c>
      <c r="K29" s="252">
        <v>13</v>
      </c>
      <c r="L29" s="253">
        <v>0.052436269764440144</v>
      </c>
      <c r="M29" s="252">
        <v>12</v>
      </c>
      <c r="N29" s="502">
        <f t="shared" si="1"/>
        <v>0.04267728856959954</v>
      </c>
    </row>
    <row r="30" spans="1:14" ht="12.75">
      <c r="A30" s="151" t="s">
        <v>85</v>
      </c>
      <c r="B30" s="150"/>
      <c r="C30" s="252">
        <v>1</v>
      </c>
      <c r="D30" s="253">
        <v>0.003608545034642032</v>
      </c>
      <c r="E30" s="252">
        <v>16</v>
      </c>
      <c r="F30" s="253">
        <v>0.06142270336673193</v>
      </c>
      <c r="G30" s="252">
        <v>6</v>
      </c>
      <c r="H30" s="253">
        <v>0.02050300710770913</v>
      </c>
      <c r="I30" s="252">
        <v>2</v>
      </c>
      <c r="J30" s="253">
        <v>0.007269555103227682</v>
      </c>
      <c r="K30" s="252">
        <v>46</v>
      </c>
      <c r="L30" s="253">
        <v>0.18554372378186512</v>
      </c>
      <c r="M30" s="252">
        <v>11</v>
      </c>
      <c r="N30" s="502">
        <f t="shared" si="1"/>
        <v>0.039120847855466254</v>
      </c>
    </row>
    <row r="31" spans="1:14" ht="12.75">
      <c r="A31" s="151" t="s">
        <v>86</v>
      </c>
      <c r="B31" s="150"/>
      <c r="C31" s="252">
        <v>50</v>
      </c>
      <c r="D31" s="253">
        <v>0.1804272517321016</v>
      </c>
      <c r="E31" s="252">
        <v>30</v>
      </c>
      <c r="F31" s="253">
        <v>0.11516756881262237</v>
      </c>
      <c r="G31" s="252">
        <v>83</v>
      </c>
      <c r="H31" s="253">
        <v>0.283624931656643</v>
      </c>
      <c r="I31" s="252">
        <v>46</v>
      </c>
      <c r="J31" s="253">
        <v>0.1671997673742367</v>
      </c>
      <c r="K31" s="252">
        <v>12</v>
      </c>
      <c r="L31" s="253">
        <v>0.0484027105517909</v>
      </c>
      <c r="M31" s="252">
        <v>86</v>
      </c>
      <c r="N31" s="502">
        <f t="shared" si="1"/>
        <v>0.30585390141546337</v>
      </c>
    </row>
    <row r="32" spans="1:14" ht="12.75">
      <c r="A32" s="151" t="s">
        <v>27</v>
      </c>
      <c r="B32" s="150"/>
      <c r="C32" s="152">
        <v>399</v>
      </c>
      <c r="D32" s="253">
        <v>1.439809468822171</v>
      </c>
      <c r="E32" s="152">
        <v>208</v>
      </c>
      <c r="F32" s="253">
        <v>0.798495143767515</v>
      </c>
      <c r="G32" s="152">
        <v>432</v>
      </c>
      <c r="H32" s="253">
        <v>1.4762165117550574</v>
      </c>
      <c r="I32" s="152">
        <v>439</v>
      </c>
      <c r="J32" s="253">
        <v>1.5956673451584764</v>
      </c>
      <c r="K32" s="152">
        <v>508</v>
      </c>
      <c r="L32" s="253">
        <v>2.049048080025815</v>
      </c>
      <c r="M32" s="152">
        <f>109+16+97+28+109</f>
        <v>359</v>
      </c>
      <c r="N32" s="502">
        <f t="shared" si="1"/>
        <v>1.276762216373853</v>
      </c>
    </row>
    <row r="33" spans="1:14" ht="12.75">
      <c r="A33" s="151" t="s">
        <v>71</v>
      </c>
      <c r="B33" s="150"/>
      <c r="C33" s="152"/>
      <c r="D33" s="253"/>
      <c r="E33" s="152"/>
      <c r="F33" s="253"/>
      <c r="G33" s="152"/>
      <c r="H33" s="253"/>
      <c r="I33" s="152"/>
      <c r="J33" s="253"/>
      <c r="K33" s="152"/>
      <c r="L33" s="253"/>
      <c r="M33" s="152"/>
      <c r="N33" s="502"/>
    </row>
    <row r="34" spans="1:14" ht="15" customHeight="1">
      <c r="A34" s="149" t="s">
        <v>31</v>
      </c>
      <c r="B34" s="150"/>
      <c r="C34" s="252">
        <v>5862</v>
      </c>
      <c r="D34" s="253">
        <v>21.153290993071593</v>
      </c>
      <c r="E34" s="252">
        <v>4764</v>
      </c>
      <c r="F34" s="253">
        <v>18.288609927444433</v>
      </c>
      <c r="G34" s="252">
        <v>4275</v>
      </c>
      <c r="H34" s="253">
        <v>14.608392564242756</v>
      </c>
      <c r="I34" s="252">
        <v>4169</v>
      </c>
      <c r="J34" s="253">
        <v>15.153387612678104</v>
      </c>
      <c r="K34" s="252">
        <v>4165</v>
      </c>
      <c r="L34" s="253">
        <v>16.79977412068409</v>
      </c>
      <c r="M34" s="252">
        <f>SUM(M35:M40)</f>
        <v>5166</v>
      </c>
      <c r="N34" s="502">
        <f aca="true" t="shared" si="2" ref="N34:N40">+M34/M$51*100</f>
        <v>18.372572729212607</v>
      </c>
    </row>
    <row r="35" spans="1:14" ht="12.75">
      <c r="A35" s="151" t="s">
        <v>32</v>
      </c>
      <c r="B35" s="150"/>
      <c r="C35" s="252">
        <v>213</v>
      </c>
      <c r="D35" s="253">
        <v>0.7686200923787528</v>
      </c>
      <c r="E35" s="252">
        <v>221</v>
      </c>
      <c r="F35" s="253">
        <v>0.8484010902529848</v>
      </c>
      <c r="G35" s="252">
        <v>320</v>
      </c>
      <c r="H35" s="253">
        <v>1.0934937124111537</v>
      </c>
      <c r="I35" s="252">
        <v>358</v>
      </c>
      <c r="J35" s="253">
        <v>1.3012503634777552</v>
      </c>
      <c r="K35" s="252">
        <v>599</v>
      </c>
      <c r="L35" s="253">
        <v>2.416101968376896</v>
      </c>
      <c r="M35" s="252">
        <v>439</v>
      </c>
      <c r="N35" s="502">
        <f t="shared" si="2"/>
        <v>1.5612774735045167</v>
      </c>
    </row>
    <row r="36" spans="1:14" ht="12.75">
      <c r="A36" s="151" t="s">
        <v>34</v>
      </c>
      <c r="B36" s="150"/>
      <c r="C36" s="152">
        <v>323</v>
      </c>
      <c r="D36" s="253">
        <v>1.1655600461893765</v>
      </c>
      <c r="E36" s="152">
        <v>168</v>
      </c>
      <c r="F36" s="253">
        <v>0.6449383853506853</v>
      </c>
      <c r="G36" s="152">
        <v>259</v>
      </c>
      <c r="H36" s="253">
        <v>0.8850464734827774</v>
      </c>
      <c r="I36" s="152">
        <v>438</v>
      </c>
      <c r="J36" s="253">
        <v>1.5920325676068623</v>
      </c>
      <c r="K36" s="152">
        <v>390</v>
      </c>
      <c r="L36" s="253">
        <v>1.573088092933204</v>
      </c>
      <c r="M36" s="152">
        <v>591</v>
      </c>
      <c r="N36" s="502">
        <f t="shared" si="2"/>
        <v>2.1018564620527775</v>
      </c>
    </row>
    <row r="37" spans="1:14" ht="12.75">
      <c r="A37" s="151" t="s">
        <v>36</v>
      </c>
      <c r="B37" s="150"/>
      <c r="C37" s="152">
        <v>1242</v>
      </c>
      <c r="D37" s="253">
        <v>4.481812933025404</v>
      </c>
      <c r="E37" s="152">
        <v>1113</v>
      </c>
      <c r="F37" s="253">
        <v>4.27271680294829</v>
      </c>
      <c r="G37" s="152">
        <v>1388</v>
      </c>
      <c r="H37" s="253">
        <v>4.7430289775833785</v>
      </c>
      <c r="I37" s="152">
        <v>2179</v>
      </c>
      <c r="J37" s="253">
        <v>7.920180284966561</v>
      </c>
      <c r="K37" s="152">
        <v>1859</v>
      </c>
      <c r="L37" s="253">
        <v>7.49838657631494</v>
      </c>
      <c r="M37" s="152">
        <v>1898</v>
      </c>
      <c r="N37" s="502">
        <f t="shared" si="2"/>
        <v>6.750124475424994</v>
      </c>
    </row>
    <row r="38" spans="1:14" ht="12.75">
      <c r="A38" s="153" t="s">
        <v>37</v>
      </c>
      <c r="B38" s="305"/>
      <c r="C38" s="254">
        <v>127</v>
      </c>
      <c r="D38" s="253">
        <v>0.45828521939953804</v>
      </c>
      <c r="E38" s="254">
        <v>176</v>
      </c>
      <c r="F38" s="253">
        <v>0.6756497370340512</v>
      </c>
      <c r="G38" s="254">
        <v>67</v>
      </c>
      <c r="H38" s="253">
        <v>0.2289502460360853</v>
      </c>
      <c r="I38" s="254">
        <v>32</v>
      </c>
      <c r="J38" s="253">
        <v>0.11631288165164291</v>
      </c>
      <c r="K38" s="254">
        <v>222</v>
      </c>
      <c r="L38" s="253">
        <v>0.8954501452081317</v>
      </c>
      <c r="M38" s="254">
        <v>182</v>
      </c>
      <c r="N38" s="502">
        <f t="shared" si="2"/>
        <v>0.6472722099722598</v>
      </c>
    </row>
    <row r="39" spans="1:14" ht="12.75">
      <c r="A39" s="151" t="s">
        <v>38</v>
      </c>
      <c r="B39" s="150"/>
      <c r="C39" s="152">
        <v>1813</v>
      </c>
      <c r="D39" s="253">
        <v>6.5422921478060045</v>
      </c>
      <c r="E39" s="152">
        <v>1429</v>
      </c>
      <c r="F39" s="253">
        <v>5.485815194441245</v>
      </c>
      <c r="G39" s="152">
        <v>1185</v>
      </c>
      <c r="H39" s="253">
        <v>4.049343903772553</v>
      </c>
      <c r="I39" s="152">
        <v>526</v>
      </c>
      <c r="J39" s="253">
        <v>1.9118929921488805</v>
      </c>
      <c r="K39" s="152">
        <v>635</v>
      </c>
      <c r="L39" s="253">
        <v>2.5613101000322684</v>
      </c>
      <c r="M39" s="152">
        <v>1475</v>
      </c>
      <c r="N39" s="502">
        <f t="shared" si="2"/>
        <v>5.245750053346611</v>
      </c>
    </row>
    <row r="40" spans="1:14" ht="12.75">
      <c r="A40" s="151" t="s">
        <v>27</v>
      </c>
      <c r="B40" s="150"/>
      <c r="C40" s="152">
        <v>2144</v>
      </c>
      <c r="D40" s="253">
        <v>7.736720554272518</v>
      </c>
      <c r="E40" s="152">
        <v>1657</v>
      </c>
      <c r="F40" s="253">
        <v>6.361088717417175</v>
      </c>
      <c r="G40" s="152">
        <v>1056</v>
      </c>
      <c r="H40" s="253">
        <v>3.608529250956807</v>
      </c>
      <c r="I40" s="152">
        <v>636</v>
      </c>
      <c r="J40" s="253">
        <v>2.311718522826403</v>
      </c>
      <c r="K40" s="152">
        <v>460</v>
      </c>
      <c r="L40" s="253">
        <v>1.8554372378186512</v>
      </c>
      <c r="M40" s="152">
        <f>126+14+28+7+323+17+60+6</f>
        <v>581</v>
      </c>
      <c r="N40" s="502">
        <f t="shared" si="2"/>
        <v>2.0662920549114445</v>
      </c>
    </row>
    <row r="41" spans="1:14" ht="12.75">
      <c r="A41" s="151" t="s">
        <v>71</v>
      </c>
      <c r="B41" s="150"/>
      <c r="C41" s="152"/>
      <c r="D41" s="253"/>
      <c r="E41" s="152"/>
      <c r="F41" s="253"/>
      <c r="G41" s="152"/>
      <c r="H41" s="253"/>
      <c r="I41" s="152"/>
      <c r="J41" s="253"/>
      <c r="K41" s="152"/>
      <c r="L41" s="253"/>
      <c r="M41" s="152"/>
      <c r="N41" s="502"/>
    </row>
    <row r="42" spans="1:14" ht="15" customHeight="1">
      <c r="A42" s="149" t="s">
        <v>41</v>
      </c>
      <c r="B42" s="150"/>
      <c r="C42" s="252">
        <v>1111</v>
      </c>
      <c r="D42" s="253">
        <v>4.009093533487298</v>
      </c>
      <c r="E42" s="252">
        <v>1740</v>
      </c>
      <c r="F42" s="253">
        <v>6.679718991132097</v>
      </c>
      <c r="G42" s="252">
        <v>2935</v>
      </c>
      <c r="H42" s="253">
        <v>10.02938764352105</v>
      </c>
      <c r="I42" s="252">
        <v>2219</v>
      </c>
      <c r="J42" s="253">
        <v>8.065571387031113</v>
      </c>
      <c r="K42" s="252">
        <v>1715</v>
      </c>
      <c r="L42" s="253">
        <v>6.91755404969345</v>
      </c>
      <c r="M42" s="252">
        <f>SUM(M43:M48)</f>
        <v>2708</v>
      </c>
      <c r="N42" s="502">
        <f aca="true" t="shared" si="3" ref="N42:N48">+M42/M$51*100</f>
        <v>9.630841453872964</v>
      </c>
    </row>
    <row r="43" spans="1:14" ht="12.75">
      <c r="A43" s="151" t="s">
        <v>42</v>
      </c>
      <c r="B43" s="150"/>
      <c r="C43" s="152">
        <v>230</v>
      </c>
      <c r="D43" s="253">
        <v>0.8299653579676673</v>
      </c>
      <c r="E43" s="152">
        <v>98</v>
      </c>
      <c r="F43" s="253">
        <v>0.37621405812123304</v>
      </c>
      <c r="G43" s="152">
        <v>120</v>
      </c>
      <c r="H43" s="253">
        <v>0.4100601421541826</v>
      </c>
      <c r="I43" s="152">
        <v>195</v>
      </c>
      <c r="J43" s="253">
        <v>0.708781622564699</v>
      </c>
      <c r="K43" s="152">
        <v>102</v>
      </c>
      <c r="L43" s="253">
        <v>0.41142303969022265</v>
      </c>
      <c r="M43" s="152">
        <v>89</v>
      </c>
      <c r="N43" s="502">
        <f t="shared" si="3"/>
        <v>0.3165232235578633</v>
      </c>
    </row>
    <row r="44" spans="1:14" ht="12.75">
      <c r="A44" s="151" t="s">
        <v>43</v>
      </c>
      <c r="B44" s="150"/>
      <c r="C44" s="567" t="s">
        <v>252</v>
      </c>
      <c r="D44" s="568" t="s">
        <v>252</v>
      </c>
      <c r="E44" s="152">
        <v>158</v>
      </c>
      <c r="F44" s="253">
        <v>0.6065491957464778</v>
      </c>
      <c r="G44" s="152">
        <v>175</v>
      </c>
      <c r="H44" s="253">
        <v>0.5980043739748497</v>
      </c>
      <c r="I44" s="152">
        <v>174</v>
      </c>
      <c r="J44" s="253">
        <v>0.6324512939808083</v>
      </c>
      <c r="K44" s="152">
        <v>133</v>
      </c>
      <c r="L44" s="253">
        <v>0.5364633752823491</v>
      </c>
      <c r="M44" s="152">
        <v>168</v>
      </c>
      <c r="N44" s="502">
        <f t="shared" si="3"/>
        <v>0.5974820399743936</v>
      </c>
    </row>
    <row r="45" spans="1:14" ht="12.75">
      <c r="A45" s="153" t="s">
        <v>44</v>
      </c>
      <c r="B45" s="305"/>
      <c r="C45" s="254">
        <v>25</v>
      </c>
      <c r="D45" s="253">
        <v>0.0902136258660508</v>
      </c>
      <c r="E45" s="254">
        <v>9</v>
      </c>
      <c r="F45" s="253">
        <v>0.03455027064378671</v>
      </c>
      <c r="G45" s="254">
        <v>13</v>
      </c>
      <c r="H45" s="253">
        <v>0.044423182066703114</v>
      </c>
      <c r="I45" s="254">
        <v>21</v>
      </c>
      <c r="J45" s="253">
        <v>0.07633032858389067</v>
      </c>
      <c r="K45" s="254" t="s">
        <v>252</v>
      </c>
      <c r="L45" s="253" t="s">
        <v>252</v>
      </c>
      <c r="M45" s="567" t="s">
        <v>252</v>
      </c>
      <c r="N45" s="569" t="s">
        <v>252</v>
      </c>
    </row>
    <row r="46" spans="1:14" ht="12.75">
      <c r="A46" s="151" t="s">
        <v>46</v>
      </c>
      <c r="B46" s="150"/>
      <c r="C46" s="567" t="s">
        <v>252</v>
      </c>
      <c r="D46" s="568" t="s">
        <v>252</v>
      </c>
      <c r="E46" s="567" t="s">
        <v>252</v>
      </c>
      <c r="F46" s="568" t="s">
        <v>252</v>
      </c>
      <c r="G46" s="567" t="s">
        <v>252</v>
      </c>
      <c r="H46" s="568" t="s">
        <v>252</v>
      </c>
      <c r="I46" s="567" t="s">
        <v>252</v>
      </c>
      <c r="J46" s="568" t="s">
        <v>252</v>
      </c>
      <c r="K46" s="567" t="s">
        <v>252</v>
      </c>
      <c r="L46" s="568" t="s">
        <v>252</v>
      </c>
      <c r="M46" s="567" t="s">
        <v>252</v>
      </c>
      <c r="N46" s="569" t="s">
        <v>252</v>
      </c>
    </row>
    <row r="47" spans="1:14" ht="12.75">
      <c r="A47" s="151" t="s">
        <v>49</v>
      </c>
      <c r="B47" s="150"/>
      <c r="C47" s="152">
        <v>444</v>
      </c>
      <c r="D47" s="253">
        <v>1.6021939953810622</v>
      </c>
      <c r="E47" s="152">
        <v>307</v>
      </c>
      <c r="F47" s="253">
        <v>1.1785481208491688</v>
      </c>
      <c r="G47" s="152">
        <v>1335</v>
      </c>
      <c r="H47" s="253">
        <v>4.561919081465281</v>
      </c>
      <c r="I47" s="152">
        <v>609</v>
      </c>
      <c r="J47" s="253">
        <v>2.2135795289328293</v>
      </c>
      <c r="K47" s="152">
        <v>389</v>
      </c>
      <c r="L47" s="253">
        <v>1.5690545337205553</v>
      </c>
      <c r="M47" s="152">
        <v>1058</v>
      </c>
      <c r="N47" s="502">
        <f t="shared" si="3"/>
        <v>3.7627142755530265</v>
      </c>
    </row>
    <row r="48" spans="1:14" ht="12.75">
      <c r="A48" s="151" t="s">
        <v>27</v>
      </c>
      <c r="B48" s="150"/>
      <c r="C48" s="152">
        <v>412</v>
      </c>
      <c r="D48" s="253">
        <v>1.4867205542725173</v>
      </c>
      <c r="E48" s="152">
        <v>1168</v>
      </c>
      <c r="F48" s="253">
        <v>4.4838573457714315</v>
      </c>
      <c r="G48" s="152">
        <v>1292</v>
      </c>
      <c r="H48" s="253">
        <v>4.414980863860033</v>
      </c>
      <c r="I48" s="152">
        <v>1220</v>
      </c>
      <c r="J48" s="253">
        <v>4.434428612968886</v>
      </c>
      <c r="K48" s="152">
        <v>1091</v>
      </c>
      <c r="L48" s="253">
        <v>4.400613101000323</v>
      </c>
      <c r="M48" s="152">
        <f>221+122+429+581+37+3</f>
        <v>1393</v>
      </c>
      <c r="N48" s="502">
        <f t="shared" si="3"/>
        <v>4.954121914787681</v>
      </c>
    </row>
    <row r="49" spans="1:14" ht="12.75">
      <c r="A49" s="151"/>
      <c r="B49" s="150"/>
      <c r="C49" s="152"/>
      <c r="D49" s="253"/>
      <c r="E49" s="152"/>
      <c r="F49" s="253"/>
      <c r="G49" s="152"/>
      <c r="H49" s="253"/>
      <c r="I49" s="152"/>
      <c r="J49" s="253"/>
      <c r="K49" s="152"/>
      <c r="L49" s="253"/>
      <c r="M49" s="152"/>
      <c r="N49" s="502"/>
    </row>
    <row r="50" spans="1:14" ht="15" customHeight="1">
      <c r="A50" s="149" t="s">
        <v>87</v>
      </c>
      <c r="B50" s="150"/>
      <c r="C50" s="567" t="s">
        <v>252</v>
      </c>
      <c r="D50" s="568" t="s">
        <v>252</v>
      </c>
      <c r="E50" s="567" t="s">
        <v>252</v>
      </c>
      <c r="F50" s="568" t="s">
        <v>252</v>
      </c>
      <c r="G50" s="567" t="s">
        <v>252</v>
      </c>
      <c r="H50" s="568" t="s">
        <v>252</v>
      </c>
      <c r="I50" s="567" t="s">
        <v>252</v>
      </c>
      <c r="J50" s="568" t="s">
        <v>252</v>
      </c>
      <c r="K50" s="567" t="s">
        <v>252</v>
      </c>
      <c r="L50" s="568" t="s">
        <v>252</v>
      </c>
      <c r="M50" s="567" t="s">
        <v>252</v>
      </c>
      <c r="N50" s="569" t="s">
        <v>252</v>
      </c>
    </row>
    <row r="51" spans="1:14" ht="18.75" customHeight="1" thickBot="1">
      <c r="A51" s="380" t="s">
        <v>88</v>
      </c>
      <c r="B51" s="306"/>
      <c r="C51" s="255">
        <v>27712</v>
      </c>
      <c r="D51" s="256">
        <v>100</v>
      </c>
      <c r="E51" s="255">
        <v>26049</v>
      </c>
      <c r="F51" s="256">
        <v>100</v>
      </c>
      <c r="G51" s="255">
        <v>29264</v>
      </c>
      <c r="H51" s="256">
        <v>100</v>
      </c>
      <c r="I51" s="255">
        <v>27512</v>
      </c>
      <c r="J51" s="256">
        <v>100</v>
      </c>
      <c r="K51" s="255">
        <v>24792</v>
      </c>
      <c r="L51" s="256">
        <v>100</v>
      </c>
      <c r="M51" s="255">
        <f>SUM(M5+M22+M27+M34+M42)</f>
        <v>28118</v>
      </c>
      <c r="N51" s="503">
        <f>+M51/M$51*100</f>
        <v>100</v>
      </c>
    </row>
    <row r="52" spans="1:14" ht="13.5" thickTop="1">
      <c r="A52" s="154" t="s">
        <v>71</v>
      </c>
      <c r="B52" s="155"/>
      <c r="C52" s="155"/>
      <c r="D52" s="155"/>
      <c r="F52" s="155"/>
      <c r="H52" s="155"/>
      <c r="I52" s="155"/>
      <c r="J52" s="155"/>
      <c r="L52" s="155"/>
      <c r="N52" s="155"/>
    </row>
    <row r="53" spans="1:14" ht="12.75">
      <c r="A53" s="156"/>
      <c r="B53" s="155"/>
      <c r="D53" s="157"/>
      <c r="E53" s="155"/>
      <c r="F53" s="157"/>
      <c r="G53" s="155"/>
      <c r="H53" s="157"/>
      <c r="I53" s="157"/>
      <c r="J53" s="157"/>
      <c r="K53" s="155"/>
      <c r="L53" s="157"/>
      <c r="M53" s="155"/>
      <c r="N53" s="157"/>
    </row>
    <row r="54" spans="1:14" ht="12.75">
      <c r="A54" s="155"/>
      <c r="B54" s="155"/>
      <c r="C54" s="155"/>
      <c r="D54" s="155"/>
      <c r="E54" s="158"/>
      <c r="F54" s="155"/>
      <c r="G54" s="159"/>
      <c r="H54" s="155"/>
      <c r="I54" s="155"/>
      <c r="J54" s="155"/>
      <c r="K54" s="159"/>
      <c r="L54" s="155"/>
      <c r="M54" s="159"/>
      <c r="N54" s="155"/>
    </row>
    <row r="55" spans="2:13" ht="12.75">
      <c r="B55" s="307" t="s">
        <v>71</v>
      </c>
      <c r="E55" s="160"/>
      <c r="G55" s="160"/>
      <c r="K55" s="160"/>
      <c r="M55" s="160"/>
    </row>
    <row r="56" ht="12">
      <c r="A56" s="307" t="s">
        <v>71</v>
      </c>
    </row>
    <row r="58" ht="12">
      <c r="A58" s="307" t="s">
        <v>71</v>
      </c>
    </row>
  </sheetData>
  <sheetProtection/>
  <printOptions horizontalCentered="1" verticalCentered="1"/>
  <pageMargins left="0.1968503937007874" right="0.1968503937007874" top="0.3937007874015748" bottom="0.3937007874015748" header="0.5118110236220472" footer="0.5118110236220472"/>
  <pageSetup fitToHeight="1" fitToWidth="1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9">
    <pageSetUpPr fitToPage="1"/>
  </sheetPr>
  <dimension ref="A1:I65"/>
  <sheetViews>
    <sheetView showGridLines="0" zoomScale="85" zoomScaleNormal="85" zoomScalePageLayoutView="0" workbookViewId="0" topLeftCell="A1">
      <selection activeCell="C4" sqref="C4"/>
    </sheetView>
  </sheetViews>
  <sheetFormatPr defaultColWidth="9.140625" defaultRowHeight="12.75"/>
  <cols>
    <col min="1" max="1" width="10.28125" style="280" customWidth="1"/>
    <col min="2" max="2" width="10.421875" style="280" customWidth="1"/>
    <col min="3" max="16384" width="9.140625" style="280" customWidth="1"/>
  </cols>
  <sheetData>
    <row r="1" spans="1:9" ht="12.75">
      <c r="A1" s="60" t="s">
        <v>231</v>
      </c>
      <c r="B1" s="335"/>
      <c r="C1" s="335"/>
      <c r="D1" s="335"/>
      <c r="E1" s="335"/>
      <c r="F1" s="335"/>
      <c r="G1" s="335"/>
      <c r="H1" s="336"/>
      <c r="I1" s="336"/>
    </row>
    <row r="2" spans="1:9" ht="12.75">
      <c r="A2" s="128" t="s">
        <v>15</v>
      </c>
      <c r="B2" s="335"/>
      <c r="C2" s="335"/>
      <c r="D2" s="335"/>
      <c r="E2" s="335"/>
      <c r="F2" s="335"/>
      <c r="G2" s="335"/>
      <c r="H2" s="336"/>
      <c r="I2" s="336"/>
    </row>
    <row r="3" spans="1:9" ht="18.75" customHeight="1" thickBot="1">
      <c r="A3" s="129" t="s">
        <v>89</v>
      </c>
      <c r="B3" s="64"/>
      <c r="C3" s="336"/>
      <c r="D3" s="336"/>
      <c r="E3" s="336"/>
      <c r="F3" s="336"/>
      <c r="G3" s="336"/>
      <c r="H3" s="336"/>
      <c r="I3" s="336"/>
    </row>
    <row r="4" spans="1:9" ht="16.5" customHeight="1" thickTop="1">
      <c r="A4" s="130" t="s">
        <v>90</v>
      </c>
      <c r="B4" s="131"/>
      <c r="C4" s="132">
        <v>2005</v>
      </c>
      <c r="D4" s="132">
        <v>2006</v>
      </c>
      <c r="E4" s="132">
        <v>2007</v>
      </c>
      <c r="F4" s="132">
        <v>2008</v>
      </c>
      <c r="G4" s="132">
        <v>2009</v>
      </c>
      <c r="H4" s="332">
        <v>2010</v>
      </c>
      <c r="I4" s="336"/>
    </row>
    <row r="5" spans="1:9" ht="12.75">
      <c r="A5" s="133" t="s">
        <v>91</v>
      </c>
      <c r="B5" s="1"/>
      <c r="C5" s="572" t="s">
        <v>252</v>
      </c>
      <c r="D5" s="572" t="s">
        <v>252</v>
      </c>
      <c r="E5" s="572" t="s">
        <v>252</v>
      </c>
      <c r="F5" s="572" t="s">
        <v>252</v>
      </c>
      <c r="G5" s="572" t="s">
        <v>252</v>
      </c>
      <c r="H5" s="573" t="s">
        <v>252</v>
      </c>
      <c r="I5" s="336"/>
    </row>
    <row r="6" spans="1:9" ht="12.75">
      <c r="A6" s="133" t="s">
        <v>92</v>
      </c>
      <c r="B6" s="1"/>
      <c r="C6" s="134">
        <v>2431</v>
      </c>
      <c r="D6" s="134">
        <v>2671</v>
      </c>
      <c r="E6" s="134">
        <v>2981</v>
      </c>
      <c r="F6" s="134">
        <v>2971</v>
      </c>
      <c r="G6" s="134">
        <v>1922</v>
      </c>
      <c r="H6" s="337">
        <v>2306</v>
      </c>
      <c r="I6" s="336"/>
    </row>
    <row r="7" spans="1:9" ht="12.75">
      <c r="A7" s="133" t="s">
        <v>22</v>
      </c>
      <c r="B7" s="1"/>
      <c r="C7" s="134">
        <v>64</v>
      </c>
      <c r="D7" s="134">
        <v>89</v>
      </c>
      <c r="E7" s="134">
        <v>85</v>
      </c>
      <c r="F7" s="134">
        <v>190</v>
      </c>
      <c r="G7" s="134">
        <v>83</v>
      </c>
      <c r="H7" s="337">
        <v>38</v>
      </c>
      <c r="I7" s="336"/>
    </row>
    <row r="8" spans="1:9" ht="12.75">
      <c r="A8" s="133" t="s">
        <v>93</v>
      </c>
      <c r="B8" s="1"/>
      <c r="C8" s="134">
        <v>283</v>
      </c>
      <c r="D8" s="134">
        <v>88</v>
      </c>
      <c r="E8" s="134">
        <v>99</v>
      </c>
      <c r="F8" s="134">
        <v>0</v>
      </c>
      <c r="G8" s="134">
        <v>0</v>
      </c>
      <c r="H8" s="337">
        <v>0</v>
      </c>
      <c r="I8" s="336"/>
    </row>
    <row r="9" spans="1:9" ht="12.75">
      <c r="A9" s="133" t="s">
        <v>23</v>
      </c>
      <c r="B9" s="1"/>
      <c r="C9" s="134">
        <v>139</v>
      </c>
      <c r="D9" s="134">
        <v>68</v>
      </c>
      <c r="E9" s="134">
        <v>107</v>
      </c>
      <c r="F9" s="134">
        <v>117</v>
      </c>
      <c r="G9" s="134">
        <v>61</v>
      </c>
      <c r="H9" s="337">
        <v>89</v>
      </c>
      <c r="I9" s="336"/>
    </row>
    <row r="10" spans="1:9" ht="12.75">
      <c r="A10" s="133" t="s">
        <v>83</v>
      </c>
      <c r="B10" s="1"/>
      <c r="C10" s="134">
        <v>637</v>
      </c>
      <c r="D10" s="134">
        <v>966</v>
      </c>
      <c r="E10" s="134">
        <v>1084</v>
      </c>
      <c r="F10" s="134">
        <v>984</v>
      </c>
      <c r="G10" s="134">
        <v>423</v>
      </c>
      <c r="H10" s="337">
        <v>865</v>
      </c>
      <c r="I10" s="336"/>
    </row>
    <row r="11" spans="1:9" ht="12.75">
      <c r="A11" s="133" t="s">
        <v>94</v>
      </c>
      <c r="B11" s="1"/>
      <c r="C11" s="134">
        <v>2109</v>
      </c>
      <c r="D11" s="134">
        <v>2216</v>
      </c>
      <c r="E11" s="134">
        <v>2135</v>
      </c>
      <c r="F11" s="134">
        <v>2093</v>
      </c>
      <c r="G11" s="134">
        <v>733</v>
      </c>
      <c r="H11" s="337">
        <v>1896</v>
      </c>
      <c r="I11" s="336"/>
    </row>
    <row r="12" spans="1:9" ht="12.75">
      <c r="A12" s="133" t="s">
        <v>95</v>
      </c>
      <c r="B12" s="1"/>
      <c r="C12" s="134">
        <v>205</v>
      </c>
      <c r="D12" s="572" t="s">
        <v>252</v>
      </c>
      <c r="E12" s="572" t="s">
        <v>252</v>
      </c>
      <c r="F12" s="572" t="s">
        <v>252</v>
      </c>
      <c r="G12" s="572" t="s">
        <v>252</v>
      </c>
      <c r="H12" s="573" t="s">
        <v>252</v>
      </c>
      <c r="I12" s="336"/>
    </row>
    <row r="13" spans="1:9" ht="12.75">
      <c r="A13" s="133" t="s">
        <v>26</v>
      </c>
      <c r="B13" s="1"/>
      <c r="C13" s="134">
        <v>157</v>
      </c>
      <c r="D13" s="572" t="s">
        <v>252</v>
      </c>
      <c r="E13" s="572" t="s">
        <v>252</v>
      </c>
      <c r="F13" s="574">
        <v>38</v>
      </c>
      <c r="G13" s="572" t="s">
        <v>252</v>
      </c>
      <c r="H13" s="337">
        <v>50</v>
      </c>
      <c r="I13" s="336"/>
    </row>
    <row r="14" spans="1:9" ht="12.75">
      <c r="A14" s="133" t="s">
        <v>96</v>
      </c>
      <c r="B14" s="1"/>
      <c r="C14" s="572" t="s">
        <v>252</v>
      </c>
      <c r="D14" s="572" t="s">
        <v>252</v>
      </c>
      <c r="E14" s="572" t="s">
        <v>252</v>
      </c>
      <c r="F14" s="572" t="s">
        <v>252</v>
      </c>
      <c r="G14" s="572" t="s">
        <v>252</v>
      </c>
      <c r="H14" s="573" t="s">
        <v>252</v>
      </c>
      <c r="I14" s="336"/>
    </row>
    <row r="15" spans="1:9" ht="12.75">
      <c r="A15" s="133" t="s">
        <v>85</v>
      </c>
      <c r="B15" s="1"/>
      <c r="C15" s="572" t="s">
        <v>252</v>
      </c>
      <c r="D15" s="572" t="s">
        <v>252</v>
      </c>
      <c r="E15" s="572" t="s">
        <v>252</v>
      </c>
      <c r="F15" s="572" t="s">
        <v>252</v>
      </c>
      <c r="G15" s="572" t="s">
        <v>252</v>
      </c>
      <c r="H15" s="573" t="s">
        <v>252</v>
      </c>
      <c r="I15" s="336"/>
    </row>
    <row r="16" spans="1:9" ht="12.75">
      <c r="A16" s="133" t="s">
        <v>29</v>
      </c>
      <c r="B16" s="1"/>
      <c r="C16" s="134">
        <v>65</v>
      </c>
      <c r="D16" s="134">
        <v>18</v>
      </c>
      <c r="E16" s="572" t="s">
        <v>252</v>
      </c>
      <c r="F16" s="572" t="s">
        <v>252</v>
      </c>
      <c r="G16" s="572" t="s">
        <v>252</v>
      </c>
      <c r="H16" s="573" t="s">
        <v>252</v>
      </c>
      <c r="I16" s="336"/>
    </row>
    <row r="17" spans="1:9" ht="12.75">
      <c r="A17" s="133" t="s">
        <v>27</v>
      </c>
      <c r="B17" s="136"/>
      <c r="C17" s="134">
        <v>1</v>
      </c>
      <c r="D17" s="572" t="s">
        <v>252</v>
      </c>
      <c r="E17" s="572" t="s">
        <v>252</v>
      </c>
      <c r="F17" s="572" t="s">
        <v>252</v>
      </c>
      <c r="G17" s="574">
        <v>26</v>
      </c>
      <c r="H17" s="337">
        <v>17</v>
      </c>
      <c r="I17" s="336"/>
    </row>
    <row r="18" spans="1:9" ht="13.5" thickBot="1">
      <c r="A18" s="137" t="s">
        <v>97</v>
      </c>
      <c r="B18" s="65"/>
      <c r="C18" s="138">
        <v>6091</v>
      </c>
      <c r="D18" s="138">
        <v>6116</v>
      </c>
      <c r="E18" s="138">
        <f>SUM(E5:E17)</f>
        <v>6491</v>
      </c>
      <c r="F18" s="138">
        <f>SUM(F5:F17)</f>
        <v>6393</v>
      </c>
      <c r="G18" s="138">
        <f>SUM(G5:G17)</f>
        <v>3248</v>
      </c>
      <c r="H18" s="338">
        <f>SUM(H5:H17)</f>
        <v>5261</v>
      </c>
      <c r="I18" s="336"/>
    </row>
    <row r="19" spans="1:9" ht="18.75" customHeight="1" thickTop="1">
      <c r="A19" s="139"/>
      <c r="B19" s="336"/>
      <c r="C19" s="140"/>
      <c r="D19" s="141"/>
      <c r="E19" s="140"/>
      <c r="F19" s="444"/>
      <c r="G19" s="141"/>
      <c r="H19" s="141"/>
      <c r="I19" s="336"/>
    </row>
    <row r="20" spans="1:9" ht="13.5" thickBot="1">
      <c r="A20" s="129" t="s">
        <v>98</v>
      </c>
      <c r="B20" s="64"/>
      <c r="C20" s="140"/>
      <c r="D20" s="142"/>
      <c r="E20" s="140"/>
      <c r="F20" s="445"/>
      <c r="G20" s="140"/>
      <c r="H20" s="140"/>
      <c r="I20" s="336"/>
    </row>
    <row r="21" spans="1:9" ht="18.75" customHeight="1" thickTop="1">
      <c r="A21" s="130" t="s">
        <v>90</v>
      </c>
      <c r="B21" s="131"/>
      <c r="C21" s="132">
        <v>2005</v>
      </c>
      <c r="D21" s="132">
        <v>2006</v>
      </c>
      <c r="E21" s="132">
        <v>2007</v>
      </c>
      <c r="F21" s="132">
        <v>2008</v>
      </c>
      <c r="G21" s="132">
        <v>2009</v>
      </c>
      <c r="H21" s="332">
        <v>2010</v>
      </c>
      <c r="I21" s="336"/>
    </row>
    <row r="22" spans="1:9" ht="12.75" customHeight="1">
      <c r="A22" s="133" t="s">
        <v>63</v>
      </c>
      <c r="B22" s="1"/>
      <c r="C22" s="572" t="s">
        <v>252</v>
      </c>
      <c r="D22" s="572">
        <v>59</v>
      </c>
      <c r="E22" s="572">
        <v>662</v>
      </c>
      <c r="F22" s="572">
        <v>1646</v>
      </c>
      <c r="G22" s="572">
        <v>1117</v>
      </c>
      <c r="H22" s="337">
        <v>995</v>
      </c>
      <c r="I22" s="336"/>
    </row>
    <row r="23" spans="1:9" ht="12.75">
      <c r="A23" s="133" t="s">
        <v>92</v>
      </c>
      <c r="B23" s="1"/>
      <c r="C23" s="134">
        <v>204</v>
      </c>
      <c r="D23" s="572" t="s">
        <v>252</v>
      </c>
      <c r="E23" s="134">
        <v>72</v>
      </c>
      <c r="F23" s="134">
        <v>283</v>
      </c>
      <c r="G23" s="134">
        <v>200</v>
      </c>
      <c r="H23" s="337">
        <v>460</v>
      </c>
      <c r="I23" s="336"/>
    </row>
    <row r="24" spans="1:9" ht="12.75">
      <c r="A24" s="133" t="s">
        <v>66</v>
      </c>
      <c r="B24" s="1"/>
      <c r="C24" s="134">
        <v>1032</v>
      </c>
      <c r="D24" s="134">
        <v>744</v>
      </c>
      <c r="E24" s="134">
        <v>718</v>
      </c>
      <c r="F24" s="134">
        <v>728</v>
      </c>
      <c r="G24" s="134">
        <v>868</v>
      </c>
      <c r="H24" s="337">
        <v>1340</v>
      </c>
      <c r="I24" s="336"/>
    </row>
    <row r="25" spans="1:9" ht="12.75">
      <c r="A25" s="133" t="s">
        <v>23</v>
      </c>
      <c r="B25" s="1"/>
      <c r="C25" s="134">
        <v>886</v>
      </c>
      <c r="D25" s="134">
        <v>665</v>
      </c>
      <c r="E25" s="134">
        <v>463</v>
      </c>
      <c r="F25" s="134">
        <v>508</v>
      </c>
      <c r="G25" s="134">
        <v>347</v>
      </c>
      <c r="H25" s="573" t="s">
        <v>252</v>
      </c>
      <c r="I25" s="336"/>
    </row>
    <row r="26" spans="1:9" ht="12.75">
      <c r="A26" s="133" t="s">
        <v>93</v>
      </c>
      <c r="B26" s="1"/>
      <c r="C26" s="134">
        <v>182</v>
      </c>
      <c r="D26" s="134">
        <v>198</v>
      </c>
      <c r="E26" s="572" t="s">
        <v>252</v>
      </c>
      <c r="F26" s="572" t="s">
        <v>252</v>
      </c>
      <c r="G26" s="572" t="s">
        <v>252</v>
      </c>
      <c r="H26" s="573" t="s">
        <v>252</v>
      </c>
      <c r="I26" s="336"/>
    </row>
    <row r="27" spans="1:9" ht="12.75">
      <c r="A27" s="133" t="s">
        <v>83</v>
      </c>
      <c r="B27" s="1"/>
      <c r="C27" s="134">
        <v>506</v>
      </c>
      <c r="D27" s="134">
        <v>105</v>
      </c>
      <c r="E27" s="572" t="s">
        <v>252</v>
      </c>
      <c r="F27" s="572" t="s">
        <v>252</v>
      </c>
      <c r="G27" s="572" t="s">
        <v>252</v>
      </c>
      <c r="H27" s="573" t="s">
        <v>252</v>
      </c>
      <c r="I27" s="336"/>
    </row>
    <row r="28" spans="1:9" ht="12.75">
      <c r="A28" s="133" t="s">
        <v>94</v>
      </c>
      <c r="B28" s="1"/>
      <c r="C28" s="134">
        <v>682</v>
      </c>
      <c r="D28" s="134">
        <v>881</v>
      </c>
      <c r="E28" s="134">
        <v>951</v>
      </c>
      <c r="F28" s="134">
        <v>830</v>
      </c>
      <c r="G28" s="134">
        <v>306</v>
      </c>
      <c r="H28" s="337">
        <v>598</v>
      </c>
      <c r="I28" s="336"/>
    </row>
    <row r="29" spans="1:9" ht="12.75">
      <c r="A29" s="133" t="s">
        <v>95</v>
      </c>
      <c r="B29" s="1"/>
      <c r="C29" s="134">
        <v>4395</v>
      </c>
      <c r="D29" s="134">
        <v>4779</v>
      </c>
      <c r="E29" s="134">
        <v>5178</v>
      </c>
      <c r="F29" s="134">
        <v>4596</v>
      </c>
      <c r="G29" s="134">
        <v>4054</v>
      </c>
      <c r="H29" s="337">
        <v>3919</v>
      </c>
      <c r="I29" s="336"/>
    </row>
    <row r="30" spans="1:9" ht="12.75">
      <c r="A30" s="133" t="s">
        <v>26</v>
      </c>
      <c r="B30" s="1"/>
      <c r="C30" s="134">
        <v>394</v>
      </c>
      <c r="D30" s="134">
        <v>335</v>
      </c>
      <c r="E30" s="134">
        <v>340</v>
      </c>
      <c r="F30" s="134">
        <v>358</v>
      </c>
      <c r="G30" s="134">
        <v>110</v>
      </c>
      <c r="H30" s="337">
        <v>48</v>
      </c>
      <c r="I30" s="336"/>
    </row>
    <row r="31" spans="1:9" ht="12.75">
      <c r="A31" s="133" t="s">
        <v>96</v>
      </c>
      <c r="B31" s="1"/>
      <c r="C31" s="134">
        <v>2997</v>
      </c>
      <c r="D31" s="134">
        <v>2034</v>
      </c>
      <c r="E31" s="134">
        <v>2112</v>
      </c>
      <c r="F31" s="134">
        <v>2429</v>
      </c>
      <c r="G31" s="134">
        <v>2305</v>
      </c>
      <c r="H31" s="337">
        <v>1762</v>
      </c>
      <c r="I31" s="336"/>
    </row>
    <row r="32" spans="1:9" ht="12.75">
      <c r="A32" s="133" t="s">
        <v>85</v>
      </c>
      <c r="B32" s="1"/>
      <c r="C32" s="572" t="s">
        <v>252</v>
      </c>
      <c r="D32" s="572" t="s">
        <v>252</v>
      </c>
      <c r="E32" s="572" t="s">
        <v>252</v>
      </c>
      <c r="F32" s="572" t="s">
        <v>252</v>
      </c>
      <c r="G32" s="572" t="s">
        <v>252</v>
      </c>
      <c r="H32" s="573" t="s">
        <v>252</v>
      </c>
      <c r="I32" s="336"/>
    </row>
    <row r="33" spans="1:9" ht="12.75">
      <c r="A33" s="133" t="s">
        <v>29</v>
      </c>
      <c r="B33" s="1"/>
      <c r="C33" s="134">
        <v>6735</v>
      </c>
      <c r="D33" s="134">
        <v>8716</v>
      </c>
      <c r="E33" s="134">
        <v>7886</v>
      </c>
      <c r="F33" s="134">
        <v>7212</v>
      </c>
      <c r="G33" s="134">
        <v>6555</v>
      </c>
      <c r="H33" s="337">
        <v>7027</v>
      </c>
      <c r="I33" s="336"/>
    </row>
    <row r="34" spans="1:9" ht="12.75">
      <c r="A34" s="133" t="s">
        <v>27</v>
      </c>
      <c r="B34" s="136"/>
      <c r="C34" s="134">
        <v>49</v>
      </c>
      <c r="D34" s="134">
        <v>1</v>
      </c>
      <c r="E34" s="134">
        <v>82</v>
      </c>
      <c r="F34" s="134">
        <v>118</v>
      </c>
      <c r="G34" s="134">
        <v>328</v>
      </c>
      <c r="H34" s="337">
        <v>716</v>
      </c>
      <c r="I34" s="336"/>
    </row>
    <row r="35" spans="1:9" ht="13.5" thickBot="1">
      <c r="A35" s="137" t="s">
        <v>97</v>
      </c>
      <c r="B35" s="65"/>
      <c r="C35" s="138">
        <v>18062</v>
      </c>
      <c r="D35" s="138">
        <v>18517</v>
      </c>
      <c r="E35" s="138">
        <f>SUM(E22:E34)</f>
        <v>18464</v>
      </c>
      <c r="F35" s="138">
        <f>SUM(F22:F34)</f>
        <v>18708</v>
      </c>
      <c r="G35" s="138">
        <f>SUM(G22:G34)</f>
        <v>16190</v>
      </c>
      <c r="H35" s="338">
        <f>SUM(H22:H34)</f>
        <v>16865</v>
      </c>
      <c r="I35" s="336"/>
    </row>
    <row r="36" spans="1:9" ht="13.5" thickTop="1">
      <c r="A36" s="139"/>
      <c r="B36" s="336"/>
      <c r="C36" s="140"/>
      <c r="D36" s="141"/>
      <c r="E36" s="140"/>
      <c r="F36" s="444"/>
      <c r="G36" s="141"/>
      <c r="H36" s="141"/>
      <c r="I36" s="336"/>
    </row>
    <row r="37" spans="1:9" ht="18.75" customHeight="1" thickBot="1">
      <c r="A37" s="129" t="s">
        <v>99</v>
      </c>
      <c r="B37" s="64"/>
      <c r="C37" s="140"/>
      <c r="D37" s="142"/>
      <c r="E37" s="140"/>
      <c r="F37" s="446"/>
      <c r="G37" s="142"/>
      <c r="H37" s="142"/>
      <c r="I37" s="336"/>
    </row>
    <row r="38" spans="1:9" ht="18.75" customHeight="1" thickTop="1">
      <c r="A38" s="130" t="s">
        <v>100</v>
      </c>
      <c r="B38" s="131"/>
      <c r="C38" s="132">
        <v>2005</v>
      </c>
      <c r="D38" s="132">
        <v>2006</v>
      </c>
      <c r="E38" s="132">
        <v>2007</v>
      </c>
      <c r="F38" s="132">
        <v>2008</v>
      </c>
      <c r="G38" s="132">
        <v>2009</v>
      </c>
      <c r="H38" s="332">
        <v>2010</v>
      </c>
      <c r="I38" s="336"/>
    </row>
    <row r="39" spans="1:9" ht="12.75" customHeight="1">
      <c r="A39" s="133" t="s">
        <v>91</v>
      </c>
      <c r="B39" s="1"/>
      <c r="C39" s="572" t="s">
        <v>252</v>
      </c>
      <c r="D39" s="572" t="s">
        <v>252</v>
      </c>
      <c r="E39" s="574">
        <v>5</v>
      </c>
      <c r="F39" s="574">
        <v>5</v>
      </c>
      <c r="G39" s="574">
        <v>7</v>
      </c>
      <c r="H39" s="337">
        <v>6</v>
      </c>
      <c r="I39" s="336"/>
    </row>
    <row r="40" spans="1:9" ht="12.75" customHeight="1">
      <c r="A40" s="133" t="s">
        <v>92</v>
      </c>
      <c r="B40" s="1"/>
      <c r="C40" s="134">
        <v>82</v>
      </c>
      <c r="D40" s="134">
        <v>267</v>
      </c>
      <c r="E40" s="134">
        <v>39</v>
      </c>
      <c r="F40" s="134">
        <v>93</v>
      </c>
      <c r="G40" s="572" t="s">
        <v>252</v>
      </c>
      <c r="H40" s="573" t="s">
        <v>252</v>
      </c>
      <c r="I40" s="336"/>
    </row>
    <row r="41" spans="1:9" ht="12.75">
      <c r="A41" s="133" t="s">
        <v>22</v>
      </c>
      <c r="B41" s="1"/>
      <c r="C41" s="572" t="s">
        <v>252</v>
      </c>
      <c r="D41" s="572" t="s">
        <v>252</v>
      </c>
      <c r="E41" s="572" t="s">
        <v>252</v>
      </c>
      <c r="F41" s="572" t="s">
        <v>252</v>
      </c>
      <c r="G41" s="572" t="s">
        <v>252</v>
      </c>
      <c r="H41" s="573" t="s">
        <v>252</v>
      </c>
      <c r="I41" s="2"/>
    </row>
    <row r="42" spans="1:9" ht="12.75">
      <c r="A42" s="133" t="s">
        <v>23</v>
      </c>
      <c r="B42" s="1"/>
      <c r="C42" s="134">
        <v>76</v>
      </c>
      <c r="D42" s="134">
        <v>31</v>
      </c>
      <c r="E42" s="134">
        <v>25</v>
      </c>
      <c r="F42" s="572" t="s">
        <v>252</v>
      </c>
      <c r="G42" s="572" t="s">
        <v>252</v>
      </c>
      <c r="H42" s="573" t="s">
        <v>252</v>
      </c>
      <c r="I42" s="336"/>
    </row>
    <row r="43" spans="1:9" ht="12.75">
      <c r="A43" s="133" t="s">
        <v>94</v>
      </c>
      <c r="B43" s="1"/>
      <c r="C43" s="134">
        <v>29</v>
      </c>
      <c r="D43" s="572" t="s">
        <v>252</v>
      </c>
      <c r="E43" s="572" t="s">
        <v>252</v>
      </c>
      <c r="F43" s="572" t="s">
        <v>252</v>
      </c>
      <c r="G43" s="572" t="s">
        <v>252</v>
      </c>
      <c r="H43" s="573" t="s">
        <v>252</v>
      </c>
      <c r="I43" s="2"/>
    </row>
    <row r="44" spans="1:9" ht="12.75">
      <c r="A44" s="133" t="s">
        <v>95</v>
      </c>
      <c r="B44" s="1"/>
      <c r="C44" s="572" t="s">
        <v>252</v>
      </c>
      <c r="D44" s="572" t="s">
        <v>252</v>
      </c>
      <c r="E44" s="572" t="s">
        <v>252</v>
      </c>
      <c r="F44" s="572" t="s">
        <v>252</v>
      </c>
      <c r="G44" s="572" t="s">
        <v>252</v>
      </c>
      <c r="H44" s="573" t="s">
        <v>252</v>
      </c>
      <c r="I44" s="336"/>
    </row>
    <row r="45" spans="1:9" ht="12.75">
      <c r="A45" s="133" t="s">
        <v>85</v>
      </c>
      <c r="B45" s="1"/>
      <c r="C45" s="134">
        <v>442</v>
      </c>
      <c r="D45" s="134">
        <v>312</v>
      </c>
      <c r="E45" s="134">
        <v>295</v>
      </c>
      <c r="F45" s="134">
        <v>136</v>
      </c>
      <c r="G45" s="572" t="s">
        <v>252</v>
      </c>
      <c r="H45" s="573" t="s">
        <v>252</v>
      </c>
      <c r="I45" s="336"/>
    </row>
    <row r="46" spans="1:9" ht="12.75">
      <c r="A46" s="133" t="s">
        <v>27</v>
      </c>
      <c r="B46" s="136"/>
      <c r="C46" s="134">
        <v>229</v>
      </c>
      <c r="D46" s="134">
        <v>116</v>
      </c>
      <c r="E46" s="134">
        <v>68</v>
      </c>
      <c r="F46" s="572" t="s">
        <v>252</v>
      </c>
      <c r="G46" s="572" t="s">
        <v>252</v>
      </c>
      <c r="H46" s="573" t="s">
        <v>252</v>
      </c>
      <c r="I46" s="336"/>
    </row>
    <row r="47" spans="1:9" ht="13.5" thickBot="1">
      <c r="A47" s="137" t="s">
        <v>97</v>
      </c>
      <c r="B47" s="65"/>
      <c r="C47" s="138">
        <v>858</v>
      </c>
      <c r="D47" s="138">
        <v>726</v>
      </c>
      <c r="E47" s="138">
        <v>432</v>
      </c>
      <c r="F47" s="138">
        <f>SUM(F39:F46)</f>
        <v>234</v>
      </c>
      <c r="G47" s="138">
        <f>SUM(G39:G46)</f>
        <v>7</v>
      </c>
      <c r="H47" s="338">
        <f>SUM(H39:H46)</f>
        <v>6</v>
      </c>
      <c r="I47" s="336"/>
    </row>
    <row r="48" spans="1:9" ht="18.75" customHeight="1" thickTop="1">
      <c r="A48" s="139"/>
      <c r="B48" s="336"/>
      <c r="C48" s="140"/>
      <c r="D48" s="141"/>
      <c r="E48" s="140"/>
      <c r="F48" s="444"/>
      <c r="G48" s="141"/>
      <c r="H48" s="141"/>
      <c r="I48" s="336"/>
    </row>
    <row r="49" spans="1:9" ht="18.75" customHeight="1" thickBot="1">
      <c r="A49" s="129" t="s">
        <v>101</v>
      </c>
      <c r="B49" s="64"/>
      <c r="C49" s="140"/>
      <c r="D49" s="142"/>
      <c r="E49" s="140"/>
      <c r="F49" s="446"/>
      <c r="G49" s="142"/>
      <c r="H49" s="142"/>
      <c r="I49" s="336"/>
    </row>
    <row r="50" spans="1:9" ht="16.5" customHeight="1" thickTop="1">
      <c r="A50" s="130" t="s">
        <v>90</v>
      </c>
      <c r="B50" s="131"/>
      <c r="C50" s="132">
        <v>2005</v>
      </c>
      <c r="D50" s="332">
        <v>2006</v>
      </c>
      <c r="E50" s="441">
        <v>2007</v>
      </c>
      <c r="F50" s="332">
        <v>2008</v>
      </c>
      <c r="G50" s="332">
        <v>2009</v>
      </c>
      <c r="H50" s="332">
        <v>2010</v>
      </c>
      <c r="I50" s="336"/>
    </row>
    <row r="51" spans="1:9" ht="12.75" customHeight="1">
      <c r="A51" s="133" t="s">
        <v>91</v>
      </c>
      <c r="B51" s="1"/>
      <c r="C51" s="134">
        <v>0</v>
      </c>
      <c r="D51" s="337">
        <v>59</v>
      </c>
      <c r="E51" s="442">
        <v>667</v>
      </c>
      <c r="F51" s="337">
        <v>1651</v>
      </c>
      <c r="G51" s="337">
        <v>1124</v>
      </c>
      <c r="H51" s="337">
        <v>1001</v>
      </c>
      <c r="I51" s="336"/>
    </row>
    <row r="52" spans="1:9" ht="12.75" customHeight="1">
      <c r="A52" s="133" t="s">
        <v>92</v>
      </c>
      <c r="B52" s="1"/>
      <c r="C52" s="134">
        <v>2717</v>
      </c>
      <c r="D52" s="337">
        <v>2938</v>
      </c>
      <c r="E52" s="442">
        <v>3092</v>
      </c>
      <c r="F52" s="337">
        <v>3347</v>
      </c>
      <c r="G52" s="337">
        <v>2122</v>
      </c>
      <c r="H52" s="337">
        <v>2766</v>
      </c>
      <c r="I52" s="336"/>
    </row>
    <row r="53" spans="1:9" ht="12.75">
      <c r="A53" s="133" t="s">
        <v>66</v>
      </c>
      <c r="B53" s="1"/>
      <c r="C53" s="135">
        <v>1096</v>
      </c>
      <c r="D53" s="339">
        <v>833</v>
      </c>
      <c r="E53" s="447">
        <v>803</v>
      </c>
      <c r="F53" s="339">
        <v>918</v>
      </c>
      <c r="G53" s="339">
        <v>951</v>
      </c>
      <c r="H53" s="339">
        <v>1378</v>
      </c>
      <c r="I53" s="336"/>
    </row>
    <row r="54" spans="1:9" ht="12.75">
      <c r="A54" s="133" t="s">
        <v>23</v>
      </c>
      <c r="B54" s="1"/>
      <c r="C54" s="134">
        <v>1101</v>
      </c>
      <c r="D54" s="337">
        <v>764</v>
      </c>
      <c r="E54" s="442">
        <v>595</v>
      </c>
      <c r="F54" s="337">
        <v>625</v>
      </c>
      <c r="G54" s="337">
        <v>408</v>
      </c>
      <c r="H54" s="337">
        <v>89</v>
      </c>
      <c r="I54" s="336"/>
    </row>
    <row r="55" spans="1:9" ht="12.75">
      <c r="A55" s="133" t="s">
        <v>93</v>
      </c>
      <c r="B55" s="1"/>
      <c r="C55" s="135">
        <v>465</v>
      </c>
      <c r="D55" s="339">
        <v>286</v>
      </c>
      <c r="E55" s="447">
        <v>99</v>
      </c>
      <c r="F55" s="339">
        <v>0</v>
      </c>
      <c r="G55" s="339">
        <v>0</v>
      </c>
      <c r="H55" s="339">
        <v>0</v>
      </c>
      <c r="I55" s="336"/>
    </row>
    <row r="56" spans="1:9" ht="12.75">
      <c r="A56" s="133" t="s">
        <v>83</v>
      </c>
      <c r="B56" s="1"/>
      <c r="C56" s="135">
        <v>1143</v>
      </c>
      <c r="D56" s="339">
        <v>1071</v>
      </c>
      <c r="E56" s="447">
        <v>1084</v>
      </c>
      <c r="F56" s="339">
        <v>984</v>
      </c>
      <c r="G56" s="339">
        <v>423</v>
      </c>
      <c r="H56" s="339">
        <v>865</v>
      </c>
      <c r="I56" s="336"/>
    </row>
    <row r="57" spans="1:9" ht="12.75">
      <c r="A57" s="133" t="s">
        <v>94</v>
      </c>
      <c r="B57" s="1"/>
      <c r="C57" s="135">
        <v>2820</v>
      </c>
      <c r="D57" s="339">
        <v>3097</v>
      </c>
      <c r="E57" s="447">
        <v>3086</v>
      </c>
      <c r="F57" s="339">
        <v>2923</v>
      </c>
      <c r="G57" s="339">
        <v>1039</v>
      </c>
      <c r="H57" s="339">
        <v>2494</v>
      </c>
      <c r="I57" s="336"/>
    </row>
    <row r="58" spans="1:9" ht="12.75">
      <c r="A58" s="133" t="s">
        <v>95</v>
      </c>
      <c r="B58" s="1"/>
      <c r="C58" s="135">
        <v>4600</v>
      </c>
      <c r="D58" s="339">
        <v>4779</v>
      </c>
      <c r="E58" s="447">
        <v>5178</v>
      </c>
      <c r="F58" s="339">
        <v>4596</v>
      </c>
      <c r="G58" s="339">
        <v>4054</v>
      </c>
      <c r="H58" s="339">
        <v>3919</v>
      </c>
      <c r="I58" s="336"/>
    </row>
    <row r="59" spans="1:9" ht="12.75">
      <c r="A59" s="133" t="s">
        <v>26</v>
      </c>
      <c r="B59" s="1"/>
      <c r="C59" s="135">
        <v>551</v>
      </c>
      <c r="D59" s="339">
        <v>335</v>
      </c>
      <c r="E59" s="447">
        <v>340</v>
      </c>
      <c r="F59" s="339">
        <v>396</v>
      </c>
      <c r="G59" s="339">
        <v>110</v>
      </c>
      <c r="H59" s="339">
        <v>98</v>
      </c>
      <c r="I59" s="336"/>
    </row>
    <row r="60" spans="1:9" ht="12.75">
      <c r="A60" s="133" t="s">
        <v>96</v>
      </c>
      <c r="B60" s="1"/>
      <c r="C60" s="135">
        <v>2997</v>
      </c>
      <c r="D60" s="339">
        <v>2034</v>
      </c>
      <c r="E60" s="447">
        <v>2112</v>
      </c>
      <c r="F60" s="339">
        <v>2429</v>
      </c>
      <c r="G60" s="339">
        <v>2305</v>
      </c>
      <c r="H60" s="339">
        <v>1762</v>
      </c>
      <c r="I60" s="336"/>
    </row>
    <row r="61" spans="1:9" ht="12.75">
      <c r="A61" s="133" t="s">
        <v>85</v>
      </c>
      <c r="B61" s="1"/>
      <c r="C61" s="135">
        <v>442</v>
      </c>
      <c r="D61" s="339">
        <v>312</v>
      </c>
      <c r="E61" s="447">
        <v>295</v>
      </c>
      <c r="F61" s="339">
        <v>136</v>
      </c>
      <c r="G61" s="339">
        <v>0</v>
      </c>
      <c r="H61" s="339">
        <v>0</v>
      </c>
      <c r="I61" s="336"/>
    </row>
    <row r="62" spans="1:9" ht="12.75">
      <c r="A62" s="133" t="s">
        <v>29</v>
      </c>
      <c r="B62" s="1"/>
      <c r="C62" s="135">
        <v>6800</v>
      </c>
      <c r="D62" s="339">
        <v>8734</v>
      </c>
      <c r="E62" s="447">
        <v>7886</v>
      </c>
      <c r="F62" s="339">
        <v>7212</v>
      </c>
      <c r="G62" s="339">
        <v>6555</v>
      </c>
      <c r="H62" s="339">
        <v>7027</v>
      </c>
      <c r="I62" s="336"/>
    </row>
    <row r="63" spans="1:9" ht="12.75">
      <c r="A63" s="133" t="s">
        <v>27</v>
      </c>
      <c r="B63" s="136"/>
      <c r="C63" s="134">
        <v>279</v>
      </c>
      <c r="D63" s="339">
        <v>117</v>
      </c>
      <c r="E63" s="442">
        <v>150</v>
      </c>
      <c r="F63" s="337">
        <v>118</v>
      </c>
      <c r="G63" s="337">
        <v>354</v>
      </c>
      <c r="H63" s="337">
        <v>733</v>
      </c>
      <c r="I63" s="336"/>
    </row>
    <row r="64" spans="1:9" ht="13.5" thickBot="1">
      <c r="A64" s="137" t="s">
        <v>97</v>
      </c>
      <c r="B64" s="65"/>
      <c r="C64" s="138">
        <v>25011</v>
      </c>
      <c r="D64" s="338">
        <v>25359</v>
      </c>
      <c r="E64" s="443">
        <v>25387</v>
      </c>
      <c r="F64" s="338">
        <v>25335</v>
      </c>
      <c r="G64" s="338">
        <v>19445</v>
      </c>
      <c r="H64" s="338">
        <v>22132</v>
      </c>
      <c r="I64" s="336"/>
    </row>
    <row r="65" spans="1:9" ht="13.5" thickTop="1">
      <c r="A65" s="139"/>
      <c r="B65" s="336"/>
      <c r="C65" s="336"/>
      <c r="D65" s="340"/>
      <c r="E65" s="340"/>
      <c r="F65" s="340"/>
      <c r="G65" s="340"/>
      <c r="H65" s="336"/>
      <c r="I65" s="336"/>
    </row>
    <row r="67" ht="18.75" customHeight="1"/>
  </sheetData>
  <sheetProtection/>
  <printOptions horizontalCentered="1"/>
  <pageMargins left="0.5905511811023623" right="0.5905511811023623" top="0" bottom="0" header="0.5118110236220472" footer="0.5118110236220472"/>
  <pageSetup fitToHeight="1" fitToWidth="1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dell'Industria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PERRELLA</dc:creator>
  <cp:keywords/>
  <dc:description/>
  <cp:lastModifiedBy>Khelben</cp:lastModifiedBy>
  <cp:lastPrinted>2011-09-12T10:46:13Z</cp:lastPrinted>
  <dcterms:created xsi:type="dcterms:W3CDTF">1999-03-11T12:46:26Z</dcterms:created>
  <dcterms:modified xsi:type="dcterms:W3CDTF">2011-12-28T16:22:39Z</dcterms:modified>
  <cp:category/>
  <cp:version/>
  <cp:contentType/>
  <cp:contentStatus/>
</cp:coreProperties>
</file>