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00" firstSheet="3" activeTab="7"/>
  </bookViews>
  <sheets>
    <sheet name="Esercizio 1" sheetId="1" r:id="rId1"/>
    <sheet name="Esercizio 2" sheetId="2" r:id="rId2"/>
    <sheet name="Esercizio 3" sheetId="3" r:id="rId3"/>
    <sheet name="Esercizio 9" sheetId="4" r:id="rId4"/>
    <sheet name="Esercizio 4" sheetId="5" r:id="rId5"/>
    <sheet name="Esercizio 5" sheetId="6" r:id="rId6"/>
    <sheet name="Esercizio 6" sheetId="7" r:id="rId7"/>
    <sheet name="Esercizio 7" sheetId="8" r:id="rId8"/>
    <sheet name="Esercizio 8" sheetId="9" r:id="rId9"/>
    <sheet name="Esercizio 10" sheetId="10" r:id="rId10"/>
    <sheet name="Esercizio 11" sheetId="11" r:id="rId11"/>
    <sheet name="Esercizio 12" sheetId="12" r:id="rId12"/>
    <sheet name="Esercizio 13" sheetId="13" r:id="rId13"/>
    <sheet name="14" sheetId="14" r:id="rId14"/>
    <sheet name="15" sheetId="15" r:id="rId15"/>
  </sheets>
  <definedNames>
    <definedName name="_xlnm.Print_Area" localSheetId="0">'Esercizio 1'!$A$1:$K$84</definedName>
  </definedNames>
  <calcPr fullCalcOnLoad="1"/>
</workbook>
</file>

<file path=xl/sharedStrings.xml><?xml version="1.0" encoding="utf-8"?>
<sst xmlns="http://schemas.openxmlformats.org/spreadsheetml/2006/main" count="1617" uniqueCount="457">
  <si>
    <t>T1</t>
  </si>
  <si>
    <t>T2</t>
  </si>
  <si>
    <r>
      <t>m</t>
    </r>
    <r>
      <rPr>
        <vertAlign val="subscript"/>
        <sz val="12"/>
        <color indexed="8"/>
        <rFont val="Calibri"/>
        <family val="0"/>
      </rPr>
      <t>a2</t>
    </r>
  </si>
  <si>
    <t>Esercizio 1</t>
  </si>
  <si>
    <t>Mescolamento adiabatico e raffreddamento semplice</t>
  </si>
  <si>
    <t>Proprietà della portata d'aria in ingresso 1</t>
  </si>
  <si>
    <r>
      <t>UR</t>
    </r>
    <r>
      <rPr>
        <vertAlign val="subscript"/>
        <sz val="12"/>
        <color indexed="8"/>
        <rFont val="Calibri"/>
        <family val="0"/>
      </rPr>
      <t>1</t>
    </r>
  </si>
  <si>
    <r>
      <t>T</t>
    </r>
    <r>
      <rPr>
        <vertAlign val="subscript"/>
        <sz val="12"/>
        <color indexed="8"/>
        <rFont val="Calibri"/>
        <family val="0"/>
      </rPr>
      <t>1</t>
    </r>
  </si>
  <si>
    <t>Proprietà della portata d'aria in ingresso 2</t>
  </si>
  <si>
    <r>
      <t>UR</t>
    </r>
    <r>
      <rPr>
        <vertAlign val="subscript"/>
        <sz val="12"/>
        <color indexed="8"/>
        <rFont val="Calibri"/>
        <family val="0"/>
      </rPr>
      <t>2</t>
    </r>
  </si>
  <si>
    <r>
      <t>T</t>
    </r>
    <r>
      <rPr>
        <vertAlign val="subscript"/>
        <sz val="12"/>
        <color indexed="8"/>
        <rFont val="Calibri"/>
        <family val="0"/>
      </rPr>
      <t>2</t>
    </r>
  </si>
  <si>
    <r>
      <t>v</t>
    </r>
    <r>
      <rPr>
        <vertAlign val="subscript"/>
        <sz val="12"/>
        <color indexed="8"/>
        <rFont val="Calibri"/>
        <family val="0"/>
      </rPr>
      <t>1</t>
    </r>
  </si>
  <si>
    <r>
      <t>v</t>
    </r>
    <r>
      <rPr>
        <vertAlign val="subscript"/>
        <sz val="12"/>
        <color indexed="8"/>
        <rFont val="Calibri"/>
        <family val="0"/>
      </rPr>
      <t>2</t>
    </r>
  </si>
  <si>
    <t>m3/kg</t>
  </si>
  <si>
    <t>da leggere o interpolare</t>
  </si>
  <si>
    <t>kg/s</t>
  </si>
  <si>
    <r>
      <t>m</t>
    </r>
    <r>
      <rPr>
        <vertAlign val="super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/kg</t>
    </r>
  </si>
  <si>
    <t>Dall'interpolazione lineare tra v=0,82 e v= 0,84 (T1=13°C e T=18°C ) risulta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</si>
  <si>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</si>
  <si>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</si>
  <si>
    <t>h1</t>
  </si>
  <si>
    <r>
      <t>h</t>
    </r>
    <r>
      <rPr>
        <vertAlign val="subscript"/>
        <sz val="12"/>
        <color indexed="8"/>
        <rFont val="Calibri"/>
        <family val="0"/>
      </rPr>
      <t>1</t>
    </r>
  </si>
  <si>
    <r>
      <t>h</t>
    </r>
    <r>
      <rPr>
        <vertAlign val="subscript"/>
        <sz val="12"/>
        <color indexed="8"/>
        <rFont val="Calibri"/>
        <family val="0"/>
      </rPr>
      <t>2</t>
    </r>
  </si>
  <si>
    <t>g/kg</t>
  </si>
  <si>
    <t>kJ/kg</t>
  </si>
  <si>
    <t>Bilancio di massa dell'aria secca</t>
  </si>
  <si>
    <t>Bilancio di entalpia</t>
  </si>
  <si>
    <r>
      <rPr>
        <sz val="12"/>
        <color theme="1"/>
        <rFont val="Calibri"/>
        <family val="2"/>
      </rPr>
      <t>Bilancio di massa del vapore</t>
    </r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</si>
  <si>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a3</t>
    </r>
  </si>
  <si>
    <t xml:space="preserve">Calcolo le proprietà della corrente d'aria umida risultante in uscita dalla sezione di mescolamento adiabatico, attraverso i bilanci di massa e di energia tra la sezione di ingresso e la sezione di uscita </t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</si>
  <si>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a3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</si>
  <si>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</si>
  <si>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=(m</t>
    </r>
    <r>
      <rPr>
        <vertAlign val="subscript"/>
        <sz val="12"/>
        <color indexed="8"/>
        <rFont val="Calibri"/>
        <family val="0"/>
      </rPr>
      <t>a1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)/(m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)</t>
    </r>
  </si>
  <si>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=(m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)/(m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)</t>
    </r>
  </si>
  <si>
    <r>
      <t>m</t>
    </r>
    <r>
      <rPr>
        <vertAlign val="super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/h</t>
    </r>
  </si>
  <si>
    <t xml:space="preserve">da cui ricavo la portata massica </t>
  </si>
  <si>
    <r>
      <t>V</t>
    </r>
    <r>
      <rPr>
        <vertAlign val="subscript"/>
        <sz val="12"/>
        <color indexed="8"/>
        <rFont val="Calibri"/>
        <family val="0"/>
      </rPr>
      <t>a1</t>
    </r>
  </si>
  <si>
    <r>
      <t>V</t>
    </r>
    <r>
      <rPr>
        <vertAlign val="subscript"/>
        <sz val="12"/>
        <color indexed="8"/>
        <rFont val="Calibri"/>
        <family val="0"/>
      </rPr>
      <t>a2</t>
    </r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</si>
  <si>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=</t>
    </r>
  </si>
  <si>
    <r>
      <t>V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/v</t>
    </r>
    <r>
      <rPr>
        <vertAlign val="subscript"/>
        <sz val="12"/>
        <color indexed="8"/>
        <rFont val="Calibri"/>
        <family val="0"/>
      </rPr>
      <t>a1</t>
    </r>
  </si>
  <si>
    <r>
      <t>V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/v</t>
    </r>
    <r>
      <rPr>
        <vertAlign val="subscript"/>
        <sz val="12"/>
        <color indexed="8"/>
        <rFont val="Calibri"/>
        <family val="0"/>
      </rPr>
      <t>a2</t>
    </r>
  </si>
  <si>
    <r>
      <t>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=</t>
    </r>
  </si>
  <si>
    <t>Per determinare v2 utilizzo il diagramma psicrometrico (stima approssimativa)</t>
  </si>
  <si>
    <r>
      <t>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 xml:space="preserve"> =m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</si>
  <si>
    <t>Leggo i valori di umidità specifica dal diagramma psicrometrico</t>
  </si>
  <si>
    <t>Leggo i valori di entalpia specifica dal diagramma psicrometrico</t>
  </si>
  <si>
    <r>
      <t>Essendo la portata 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 xml:space="preserve"> maggiore di 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, il punto 3 rappresentativo della corrente risultante è più vicino al punto 1, rappresentativo della corrente di massa m</t>
    </r>
    <r>
      <rPr>
        <vertAlign val="subscript"/>
        <sz val="12"/>
        <color indexed="8"/>
        <rFont val="Calibri"/>
        <family val="0"/>
      </rPr>
      <t>a1</t>
    </r>
  </si>
  <si>
    <t>MESCOLAMENTO ADIABATICO</t>
  </si>
  <si>
    <t xml:space="preserve"> 3-4</t>
  </si>
  <si>
    <t>La portata ma3 deve essere raffreddata sino a raggiungere le condizioni di saturazione (UR = 100%) - punto 4</t>
  </si>
  <si>
    <t>Trattandosi di raffreddamento semplice l'umidità specifica si mantiene costante. Imposto i bilanci di massa e di energia:</t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</si>
  <si>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</si>
  <si>
    <t>da cui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</si>
  <si>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</si>
  <si>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vertAlign val="subscript"/>
        <sz val="12"/>
        <color indexed="8"/>
        <rFont val="Calibri"/>
        <family val="0"/>
      </rPr>
      <t>4</t>
    </r>
  </si>
  <si>
    <r>
      <t>m</t>
    </r>
    <r>
      <rPr>
        <vertAlign val="subscript"/>
        <sz val="12"/>
        <color indexed="8"/>
        <rFont val="Calibri"/>
        <family val="0"/>
      </rPr>
      <t>a</t>
    </r>
  </si>
  <si>
    <t>quindi indico le masse con</t>
  </si>
  <si>
    <r>
      <t>Q=m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0"/>
      </rPr>
      <t>3-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>)</t>
    </r>
  </si>
  <si>
    <t>Leggo h4 dal diagramma psicrometrico</t>
  </si>
  <si>
    <r>
      <t>h</t>
    </r>
    <r>
      <rPr>
        <vertAlign val="subscript"/>
        <sz val="12"/>
        <color indexed="8"/>
        <rFont val="Calibri"/>
        <family val="0"/>
      </rPr>
      <t>4</t>
    </r>
  </si>
  <si>
    <t>SI osserva che l'approssimazione è accettabile. Infatti applicando l'equazione dell'entalpia si ha:</t>
  </si>
  <si>
    <r>
      <t>h =c</t>
    </r>
    <r>
      <rPr>
        <vertAlign val="subscript"/>
        <sz val="12"/>
        <color indexed="8"/>
        <rFont val="Calibri"/>
        <family val="0"/>
      </rPr>
      <t>p,a</t>
    </r>
    <r>
      <rPr>
        <sz val="12"/>
        <color theme="1"/>
        <rFont val="Calibri"/>
        <family val="2"/>
      </rPr>
      <t>T+</t>
    </r>
    <r>
      <rPr>
        <sz val="12"/>
        <color indexed="8"/>
        <rFont val="Symbol"/>
        <family val="0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0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0"/>
      </rPr>
      <t>p,v</t>
    </r>
    <r>
      <rPr>
        <sz val="12"/>
        <color theme="1"/>
        <rFont val="Calibri"/>
        <family val="2"/>
      </rPr>
      <t>T)</t>
    </r>
  </si>
  <si>
    <t>vedi lezione aria umida</t>
  </si>
  <si>
    <t>Ricavo quindi Q</t>
  </si>
  <si>
    <t>Ovviamente risulta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</si>
  <si>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</si>
  <si>
    <t>kW</t>
  </si>
  <si>
    <t>Determinare la portata volumetrica nel punto 4</t>
  </si>
  <si>
    <t xml:space="preserve">Dal diagramma si legge </t>
  </si>
  <si>
    <t>T4</t>
  </si>
  <si>
    <t>Devo trovare il volume specifico in 4</t>
  </si>
  <si>
    <t>Esso rappresenta il volume specifico occupato dall'unità di massa di aria secca nel punto 4, cioè quando l'aria umida si è saturata, quindi sarà:</t>
  </si>
  <si>
    <t>Se interpolo tra T=15 (v= 0,83) e T=12,3 (v= 0,82)</t>
  </si>
  <si>
    <r>
      <t>v</t>
    </r>
    <r>
      <rPr>
        <vertAlign val="subscript"/>
        <sz val="12"/>
        <color indexed="8"/>
        <rFont val="Calibri"/>
        <family val="0"/>
      </rPr>
      <t>4</t>
    </r>
  </si>
  <si>
    <t>La portata volumetrica nel punto 4 è</t>
  </si>
  <si>
    <t>che diminuisce rispetto alla portata volumetrica nel punto 3</t>
  </si>
  <si>
    <r>
      <t>m</t>
    </r>
    <r>
      <rPr>
        <vertAlign val="super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/s</t>
    </r>
  </si>
  <si>
    <r>
      <t>T</t>
    </r>
    <r>
      <rPr>
        <vertAlign val="subscript"/>
        <sz val="12"/>
        <color indexed="8"/>
        <rFont val="Calibri"/>
        <family val="0"/>
      </rPr>
      <t>3</t>
    </r>
  </si>
  <si>
    <t>circa 20°C</t>
  </si>
  <si>
    <t>Raffreddamento con deumidificazione e post-riscaldamento</t>
  </si>
  <si>
    <t>Proprietà della portata d'aria in ingresso all'UTA</t>
  </si>
  <si>
    <t>Leggo il valore  di umidità specifica dal diagramma psicrometrico</t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</si>
  <si>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a2</t>
    </r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</si>
  <si>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a2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</si>
  <si>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=Q+m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</si>
  <si>
    <t xml:space="preserve">Calcolo le proprietà della corrente d'aria umida in uscita dalla sezione di raffreddamento, attraverso i bilanci di massa e di energia tra la sezione di ingresso e la sezione di uscita dalla batteria di raffreddamento </t>
  </si>
  <si>
    <t>Calcolare</t>
  </si>
  <si>
    <r>
      <t>m</t>
    </r>
    <r>
      <rPr>
        <vertAlign val="subscript"/>
        <sz val="12"/>
        <color indexed="8"/>
        <rFont val="Calibri"/>
        <family val="0"/>
      </rPr>
      <t>w</t>
    </r>
  </si>
  <si>
    <r>
      <t>Q</t>
    </r>
    <r>
      <rPr>
        <i/>
        <vertAlign val="subscript"/>
        <sz val="12"/>
        <color indexed="8"/>
        <rFont val="Calibri"/>
        <family val="0"/>
      </rPr>
      <t>postrisc</t>
    </r>
  </si>
  <si>
    <r>
      <t>Q</t>
    </r>
    <r>
      <rPr>
        <vertAlign val="subscript"/>
        <sz val="12"/>
        <color indexed="8"/>
        <rFont val="Calibri"/>
        <family val="0"/>
      </rPr>
      <t>raff</t>
    </r>
  </si>
  <si>
    <t>Temperatura della portata d'aria in uscita dalla batteria di post-riscaldamento dell'UTA (punto 3 del diagramma)</t>
  </si>
  <si>
    <t>Temperatura della portata d'aria in uscita dalla batteria di raffreddamento dell'UTA (punto 2 del diagramma)</t>
  </si>
  <si>
    <t>°C</t>
  </si>
  <si>
    <t>Processo di raffreddamento con deumidificazione</t>
  </si>
  <si>
    <t>Intanto dal diagramma leggo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</si>
  <si>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</si>
  <si>
    <r>
      <t>h</t>
    </r>
    <r>
      <rPr>
        <vertAlign val="subscript"/>
        <sz val="12"/>
        <color indexed="8"/>
        <rFont val="Calibri"/>
        <family val="0"/>
      </rPr>
      <t>2</t>
    </r>
  </si>
  <si>
    <t>oppure</t>
  </si>
  <si>
    <r>
      <t>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</t>
    </r>
  </si>
  <si>
    <r>
      <t>Q=</t>
    </r>
    <r>
      <rPr>
        <sz val="12"/>
        <color theme="1"/>
        <rFont val="Calibri"/>
        <family val="2"/>
      </rP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)-m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</si>
  <si>
    <r>
      <t>h</t>
    </r>
    <r>
      <rPr>
        <vertAlign val="subscript"/>
        <sz val="12"/>
        <color indexed="8"/>
        <rFont val="Calibri"/>
        <family val="0"/>
      </rPr>
      <t>w</t>
    </r>
  </si>
  <si>
    <t>Post-riscaldamento 2-3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</si>
  <si>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=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</si>
  <si>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+Q</t>
    </r>
    <r>
      <rPr>
        <vertAlign val="subscript"/>
        <sz val="12"/>
        <color indexed="8"/>
        <rFont val="Calibri"/>
        <family val="0"/>
      </rPr>
      <t>postrisc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</si>
  <si>
    <r>
      <t>Q</t>
    </r>
    <r>
      <rPr>
        <vertAlign val="subscript"/>
        <sz val="12"/>
        <color indexed="8"/>
        <rFont val="Calibri"/>
        <family val="0"/>
      </rPr>
      <t>postrisc</t>
    </r>
    <r>
      <rPr>
        <sz val="12"/>
        <color theme="1"/>
        <rFont val="Calibri"/>
        <family val="2"/>
      </rPr>
      <t>=</t>
    </r>
    <r>
      <rPr>
        <sz val="12"/>
        <color theme="1"/>
        <rFont val="Calibri"/>
        <family val="2"/>
      </rP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(h3-h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</t>
    </r>
  </si>
  <si>
    <t xml:space="preserve">Leggo dal diagramma </t>
  </si>
  <si>
    <r>
      <t>h</t>
    </r>
    <r>
      <rPr>
        <vertAlign val="subscript"/>
        <sz val="12"/>
        <color indexed="8"/>
        <rFont val="Calibri"/>
        <family val="0"/>
      </rPr>
      <t>3</t>
    </r>
  </si>
  <si>
    <r>
      <rPr>
        <sz val="12"/>
        <color indexed="8"/>
        <rFont val="Symbol"/>
        <family val="0"/>
      </rPr>
      <t>w3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0"/>
      </rPr>
      <t>w1</t>
    </r>
  </si>
  <si>
    <t>Dw</t>
  </si>
  <si>
    <r>
      <rPr>
        <sz val="12"/>
        <color indexed="8"/>
        <rFont val="Symbol"/>
        <family val="0"/>
      </rPr>
      <t>D</t>
    </r>
    <r>
      <rPr>
        <sz val="12"/>
        <color theme="1"/>
        <rFont val="Calibri"/>
        <family val="2"/>
      </rPr>
      <t>h</t>
    </r>
  </si>
  <si>
    <t>kJ/g</t>
  </si>
  <si>
    <t>kJ</t>
  </si>
  <si>
    <t>g</t>
  </si>
  <si>
    <t>Mescolamento adiabatico e riscaldamento con umidificazione</t>
  </si>
  <si>
    <t>5°C</t>
  </si>
  <si>
    <t>dalla lettura</t>
  </si>
  <si>
    <t>circa 9,5°C</t>
  </si>
  <si>
    <t>Imposto i bilanci di massa e di energia:</t>
  </si>
  <si>
    <r>
      <t>m</t>
    </r>
    <r>
      <rPr>
        <vertAlign val="subscript"/>
        <sz val="12"/>
        <color indexed="8"/>
        <rFont val="Calibri"/>
        <family val="0"/>
      </rPr>
      <t>a3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= m</t>
    </r>
    <r>
      <rPr>
        <vertAlign val="subscript"/>
        <sz val="12"/>
        <color indexed="8"/>
        <rFont val="Calibri"/>
        <family val="0"/>
      </rPr>
      <t>a4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</si>
  <si>
    <r>
      <t>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)</t>
    </r>
  </si>
  <si>
    <t>Dal diagramma leggo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</si>
  <si>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</si>
  <si>
    <t>Dal diagramma leggo:</t>
  </si>
  <si>
    <t>Ovviamente è</t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</si>
  <si>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+Q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4</t>
    </r>
  </si>
  <si>
    <r>
      <t>Q=m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0"/>
      </rPr>
      <t>4-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)-mwhw</t>
    </r>
  </si>
  <si>
    <t>h2</t>
  </si>
  <si>
    <t>Quindi</t>
  </si>
  <si>
    <r>
      <t>Q=m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0"/>
      </rPr>
      <t>4-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)-m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</si>
  <si>
    <t>Nell'ipotesi di umidificazione con vapore saturo secco, la trasformazione è isoterma a T = 28°C, preceduta da un riscaldamento semplice</t>
  </si>
  <si>
    <t>3-3' e 3'-4</t>
  </si>
  <si>
    <t>Riscaldamento con umidificazione</t>
  </si>
  <si>
    <r>
      <t>La portata 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 xml:space="preserve"> deve essere riscaldata e umidificata- punto 4</t>
    </r>
  </si>
  <si>
    <t>Consulto l'apposita tabella A45 pag.A-18 del file "APPENDICE AL CAPITOLO 1 UNITÀ DI MISURA INTERPOLAZIONE LINEARE TABELLE" per leggere hw (hvs) a T=110°C</t>
  </si>
  <si>
    <t>h4-h3</t>
  </si>
  <si>
    <t>28°C</t>
  </si>
  <si>
    <r>
      <t>UR</t>
    </r>
    <r>
      <rPr>
        <vertAlign val="subscript"/>
        <sz val="12"/>
        <color indexed="8"/>
        <rFont val="Calibri"/>
        <family val="0"/>
      </rPr>
      <t>3</t>
    </r>
  </si>
  <si>
    <t>Umidità relativa della portata d'aria in uscita dalla batteria di post-riscaldamento dell'UTA (punto 3 del diagramma)</t>
  </si>
  <si>
    <t>Tr</t>
  </si>
  <si>
    <t>Leggo dal diagramma</t>
  </si>
  <si>
    <t>In condizioni di saturazione (punto 1') la temperatura della corrente d'aria è la temperatura di rugiada nelle condizioni di ingresso (T1=28°C, p=patm)</t>
  </si>
  <si>
    <t>Quindi sul diagramma leggo l'ascissa del punto 1', che rappresenta proprio Tr:</t>
  </si>
  <si>
    <t>Tr= 19,5°C</t>
  </si>
  <si>
    <t>Imposto i bilanci di massa e di energia tra l'ingresso (punto 1) e l'uscita dalla batteria di raffreddamento con deumidificazione (punto 2)</t>
  </si>
  <si>
    <t xml:space="preserve">Per individuare il punto 2, si faccia la considerazione che esso possiede la stessa umidità specifica del punto 3 all'uscita della batteria di post-riscaldamento (punto 3) 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</si>
  <si>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</si>
  <si>
    <t xml:space="preserve">Quindi </t>
  </si>
  <si>
    <t>Il punto di intersezione di tale segmento con la curva di saturazione è il punto 2 che rappresenta la corrente d'aria all'uscita dalla batteria di raffreddamento con deumidificazione</t>
  </si>
  <si>
    <t>Traccio il segmento orizzontale per</t>
  </si>
  <si>
    <t>Leggo dal diagramma psicrometrico l'entalpia specifica e la temperatura del punto 2</t>
  </si>
  <si>
    <t>Dall'apposita tabella A45 pag.A-18 del file "APPENDICE AL CAPITOLO 1 UNITÀ DI MISURA INTERPOLAZIONE LINEARE TABELLE" si esegue l'interpolazione per trovare hw</t>
  </si>
  <si>
    <t>a T=11°C</t>
  </si>
  <si>
    <t>Quindi dall'equazione del bilancio di massa dell'acqua</t>
  </si>
  <si>
    <t>Dall'equazione di bilancio dell'entalpia</t>
  </si>
  <si>
    <t>Riscaldamento con umidificazione adiabatica</t>
  </si>
  <si>
    <t xml:space="preserve">Proprietà della portata d'aria in ingresso </t>
  </si>
  <si>
    <t>10°C</t>
  </si>
  <si>
    <t>Q</t>
  </si>
  <si>
    <r>
      <t>T</t>
    </r>
    <r>
      <rPr>
        <vertAlign val="subscript"/>
        <sz val="12"/>
        <color indexed="8"/>
        <rFont val="Calibri"/>
        <family val="0"/>
      </rPr>
      <t>w</t>
    </r>
  </si>
  <si>
    <t>Leggo il valore di umidità specifica dal diagramma psicrometrico nel punto 1</t>
  </si>
  <si>
    <r>
      <rPr>
        <sz val="12"/>
        <color indexed="8"/>
        <rFont val="Symbol"/>
        <family val="0"/>
      </rPr>
      <t>w1=w</t>
    </r>
    <r>
      <rPr>
        <vertAlign val="subscript"/>
        <sz val="12"/>
        <color indexed="8"/>
        <rFont val="Calibri"/>
        <family val="0"/>
      </rPr>
      <t>2</t>
    </r>
  </si>
  <si>
    <t>Riscaldamento con umidificazione 1-2-3</t>
  </si>
  <si>
    <r>
      <t>La portata 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 xml:space="preserve"> deve essere riscaldata e umidificata- punto 3</t>
    </r>
  </si>
  <si>
    <t>Trasformazione 1-2</t>
  </si>
  <si>
    <t>Riscaldamento semplice</t>
  </si>
  <si>
    <t>Trasformazione 2-3</t>
  </si>
  <si>
    <t>Umidificazione adiabatica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</si>
  <si>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  <r>
      <rPr>
        <sz val="12"/>
        <color indexed="8"/>
        <rFont val="Symbol"/>
        <family val="0"/>
      </rPr>
      <t>=w</t>
    </r>
    <r>
      <rPr>
        <vertAlign val="subscript"/>
        <sz val="12"/>
        <color indexed="8"/>
        <rFont val="Calibri"/>
        <family val="0"/>
      </rPr>
      <t>2</t>
    </r>
  </si>
  <si>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=h</t>
    </r>
    <r>
      <rPr>
        <vertAlign val="subscript"/>
        <sz val="12"/>
        <color indexed="8"/>
        <rFont val="Calibri"/>
        <family val="0"/>
      </rPr>
      <t>3</t>
    </r>
  </si>
  <si>
    <t>T=20 °C acqua liquida</t>
  </si>
  <si>
    <t>Consulto l'apposita tabella A45 pag.A-18 del file "APPENDICE AL CAPITOLO 1 UNITÀ DI MISURA INTERPOLAZIONE LINEARE TABELLE" per leggere hw (hl) a T=20°C</t>
  </si>
  <si>
    <t xml:space="preserve">Tracciando la linea isoentalpica per il punto 2, questa è la linea che rappresenta l'umidificazione adiabatica con acqua allo stato liquido (2-3). </t>
  </si>
  <si>
    <t>Il punto 3 si trova sulla linea isoentalpica passante per il punto 2</t>
  </si>
  <si>
    <t>Allora, individuato il punto 3, la sua ordinata rappresenta l'umidità specifica della corrente d'aria all'uscita dell'umidificatore.</t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</si>
  <si>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+Q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</si>
  <si>
    <r>
      <t>Q=m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0"/>
      </rPr>
      <t>3-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)-m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</si>
  <si>
    <t>34°C</t>
  </si>
  <si>
    <t>Dall'apposita tabella A45 pag.A-18 del file "APPENDICE AL CAPITOLO 1 UNITÀ DI MISURA INTERPOLAZIONE LINEARE TABELLE"  si esegue l'interpolazione per trovare hw</t>
  </si>
  <si>
    <t>a T=13°C</t>
  </si>
  <si>
    <t>Mescolamento adiabatico</t>
  </si>
  <si>
    <t>portata d'acqua condensata</t>
  </si>
  <si>
    <t>Potenza batteria raffreddamento</t>
  </si>
  <si>
    <t>%</t>
  </si>
  <si>
    <t>La portata d'aria raffreddata esce dalla batteria e viene mescolata adiabaticamente con un'altra portata d'aria</t>
  </si>
  <si>
    <t>Proprietà della portata d'aria in ingresso r</t>
  </si>
  <si>
    <t>Proprietà della portata d'aria in ingresso k</t>
  </si>
  <si>
    <t>Indichiamo con 2 i pedici relativi alla portata d'aria raffreddata e con 3 quelli relativi alla portata di mescolamento</t>
  </si>
  <si>
    <r>
      <t>V</t>
    </r>
    <r>
      <rPr>
        <vertAlign val="subscript"/>
        <sz val="12"/>
        <color indexed="8"/>
        <rFont val="Calibri"/>
        <family val="0"/>
      </rPr>
      <t>a,2</t>
    </r>
  </si>
  <si>
    <r>
      <t>V</t>
    </r>
    <r>
      <rPr>
        <vertAlign val="subscript"/>
        <sz val="12"/>
        <color indexed="8"/>
        <rFont val="Calibri"/>
        <family val="0"/>
      </rPr>
      <t>a3</t>
    </r>
  </si>
  <si>
    <r>
      <t>v</t>
    </r>
    <r>
      <rPr>
        <vertAlign val="subscript"/>
        <sz val="12"/>
        <color indexed="8"/>
        <rFont val="Calibri"/>
        <family val="0"/>
      </rPr>
      <t>3</t>
    </r>
  </si>
  <si>
    <r>
      <t>m</t>
    </r>
    <r>
      <rPr>
        <vertAlign val="subscript"/>
        <sz val="12"/>
        <color indexed="8"/>
        <rFont val="Calibri"/>
        <family val="0"/>
      </rPr>
      <t>a3</t>
    </r>
  </si>
  <si>
    <t>13°C</t>
  </si>
  <si>
    <t>23°C</t>
  </si>
  <si>
    <r>
      <t>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a4</t>
    </r>
  </si>
  <si>
    <r>
      <t>m</t>
    </r>
    <r>
      <rPr>
        <vertAlign val="subscript"/>
        <sz val="12"/>
        <color indexed="8"/>
        <rFont val="Calibri"/>
        <family val="0"/>
      </rPr>
      <t>a2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a3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a4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</si>
  <si>
    <r>
      <t>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a4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4</t>
    </r>
  </si>
  <si>
    <r>
      <t>m</t>
    </r>
    <r>
      <rPr>
        <vertAlign val="subscript"/>
        <sz val="12"/>
        <color indexed="8"/>
        <rFont val="Calibri"/>
        <family val="0"/>
      </rPr>
      <t>a4</t>
    </r>
    <r>
      <rPr>
        <sz val="12"/>
        <color theme="1"/>
        <rFont val="Calibri"/>
        <family val="2"/>
      </rPr>
      <t xml:space="preserve"> =</t>
    </r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</si>
  <si>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>=(m</t>
    </r>
    <r>
      <rPr>
        <vertAlign val="subscript"/>
        <sz val="12"/>
        <color indexed="8"/>
        <rFont val="Calibri"/>
        <family val="0"/>
      </rPr>
      <t>a3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)/(m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) =</t>
    </r>
  </si>
  <si>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>=(m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)/(m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)</t>
    </r>
  </si>
  <si>
    <t>Temperatura e UR all'uscita del mescolamento adiabatico</t>
  </si>
  <si>
    <t>Temperatura all'uscita dall'umidificatore</t>
  </si>
  <si>
    <t xml:space="preserve">Portata d'acqua necessaria all'umidificazione </t>
  </si>
  <si>
    <t>circa 12,4°C</t>
  </si>
  <si>
    <t>Umidificazione</t>
  </si>
  <si>
    <t>3-4</t>
  </si>
  <si>
    <t>h3=h4</t>
  </si>
  <si>
    <t>poiché l'acqua viene inserita allo stato liquido</t>
  </si>
  <si>
    <t>Se l'umidificazione avviene con vapore saturo secco a 110°C, la massa d'aria all'uscita dall'unità di mescolamento adiabatico</t>
  </si>
  <si>
    <t xml:space="preserve">viene umidificata a temperatura costante e la sua umidità specifica </t>
  </si>
  <si>
    <t>25°C</t>
  </si>
  <si>
    <r>
      <t>h1 =c</t>
    </r>
    <r>
      <rPr>
        <vertAlign val="subscript"/>
        <sz val="12"/>
        <color indexed="8"/>
        <rFont val="Calibri"/>
        <family val="0"/>
      </rPr>
      <t>p,a</t>
    </r>
    <r>
      <rPr>
        <sz val="12"/>
        <color theme="1"/>
        <rFont val="Calibri"/>
        <family val="2"/>
      </rPr>
      <t>T+</t>
    </r>
    <r>
      <rPr>
        <sz val="12"/>
        <color indexed="8"/>
        <rFont val="Symbol"/>
        <family val="0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0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0"/>
      </rPr>
      <t>p,v</t>
    </r>
    <r>
      <rPr>
        <sz val="12"/>
        <color theme="1"/>
        <rFont val="Calibri"/>
        <family val="2"/>
      </rPr>
      <t>T)</t>
    </r>
  </si>
  <si>
    <t xml:space="preserve">3-4 </t>
  </si>
  <si>
    <t>T3=T4 =15,4°C</t>
  </si>
  <si>
    <t>poiché l'acqua viene inserita allo stato di vapore saturo surriscaldato</t>
  </si>
  <si>
    <t xml:space="preserve">Il punto 4 si trova sull'isoterma a 25°C,  l'umidità specifica come ordinata del punto 4. </t>
  </si>
  <si>
    <r>
      <t>La portata 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 xml:space="preserve"> deve essere umidificata fino a UR = 80% - punto 4 </t>
    </r>
  </si>
  <si>
    <r>
      <t>La portata 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 xml:space="preserve"> deve essere umidificata- punto 4</t>
    </r>
  </si>
  <si>
    <t>Imposto i bilanci di massa e di energia</t>
  </si>
  <si>
    <r>
      <t>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= m</t>
    </r>
    <r>
      <rPr>
        <vertAlign val="subscript"/>
        <sz val="12"/>
        <color indexed="8"/>
        <rFont val="Calibri"/>
        <family val="0"/>
      </rPr>
      <t>a4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4</t>
    </r>
  </si>
  <si>
    <r>
      <t>h</t>
    </r>
    <r>
      <rPr>
        <vertAlign val="subscript"/>
        <sz val="12"/>
        <color indexed="8"/>
        <rFont val="Calibri"/>
        <family val="0"/>
      </rPr>
      <t>w</t>
    </r>
  </si>
  <si>
    <r>
      <t>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/m</t>
    </r>
    <r>
      <rPr>
        <vertAlign val="subscript"/>
        <sz val="12"/>
        <color indexed="8"/>
        <rFont val="Calibri"/>
        <family val="0"/>
      </rPr>
      <t>a</t>
    </r>
  </si>
  <si>
    <t xml:space="preserve">Il punto 3 è individuato a T3 = 22°C e UR3=50%. Leggo dal diagramma psicrometrico l'umidità specifica </t>
  </si>
  <si>
    <t>Esercizio 3</t>
  </si>
  <si>
    <t>Leggo il valore di umidità specifica dal diagramma psicrometrico</t>
  </si>
  <si>
    <t>Leggo il valore di entalpia specifica dal diagramma psicrometrico</t>
  </si>
  <si>
    <r>
      <t>T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=T</t>
    </r>
    <r>
      <rPr>
        <vertAlign val="subscript"/>
        <sz val="12"/>
        <color indexed="8"/>
        <rFont val="Calibri"/>
        <family val="0"/>
      </rPr>
      <t>3</t>
    </r>
  </si>
  <si>
    <t>La corrente d'aria viene riscaldata a umidità specifica costante fino</t>
  </si>
  <si>
    <t>Portata d'acqua mw</t>
  </si>
  <si>
    <t>6,4 g/s</t>
  </si>
  <si>
    <t xml:space="preserve">con vapore saturo secco (T=110°C) </t>
  </si>
  <si>
    <r>
      <t>h2 =c</t>
    </r>
    <r>
      <rPr>
        <vertAlign val="subscript"/>
        <sz val="12"/>
        <color indexed="8"/>
        <rFont val="Calibri"/>
        <family val="0"/>
      </rPr>
      <t>p,a</t>
    </r>
    <r>
      <rPr>
        <sz val="12"/>
        <color theme="1"/>
        <rFont val="Calibri"/>
        <family val="2"/>
      </rPr>
      <t>T+</t>
    </r>
    <r>
      <rPr>
        <sz val="12"/>
        <color indexed="8"/>
        <rFont val="Symbol"/>
        <family val="0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0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0"/>
      </rPr>
      <t>p,v</t>
    </r>
    <r>
      <rPr>
        <sz val="12"/>
        <color theme="1"/>
        <rFont val="Calibri"/>
        <family val="2"/>
      </rPr>
      <t>T)</t>
    </r>
  </si>
  <si>
    <t>?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</si>
  <si>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/m</t>
    </r>
    <r>
      <rPr>
        <vertAlign val="subscript"/>
        <sz val="12"/>
        <color indexed="8"/>
        <rFont val="Calibri"/>
        <family val="0"/>
      </rPr>
      <t>a</t>
    </r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</si>
  <si>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= m</t>
    </r>
    <r>
      <rPr>
        <vertAlign val="subscript"/>
        <sz val="12"/>
        <color indexed="8"/>
        <rFont val="Calibri"/>
        <family val="0"/>
      </rPr>
      <t>a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</si>
  <si>
    <r>
      <t>kg</t>
    </r>
    <r>
      <rPr>
        <vertAlign val="subscript"/>
        <sz val="12"/>
        <color indexed="8"/>
        <rFont val="Calibri"/>
        <family val="0"/>
      </rPr>
      <t>v</t>
    </r>
    <r>
      <rPr>
        <sz val="12"/>
        <color theme="1"/>
        <rFont val="Calibri"/>
        <family val="2"/>
      </rPr>
      <t>/kg</t>
    </r>
    <r>
      <rPr>
        <vertAlign val="subscript"/>
        <sz val="12"/>
        <color indexed="8"/>
        <rFont val="Calibri"/>
        <family val="0"/>
      </rPr>
      <t>a</t>
    </r>
  </si>
  <si>
    <r>
      <t>g</t>
    </r>
    <r>
      <rPr>
        <vertAlign val="subscript"/>
        <sz val="12"/>
        <color indexed="8"/>
        <rFont val="Calibri"/>
        <family val="0"/>
      </rPr>
      <t>v</t>
    </r>
    <r>
      <rPr>
        <sz val="12"/>
        <color theme="1"/>
        <rFont val="Calibri"/>
        <family val="2"/>
      </rPr>
      <t>/kg</t>
    </r>
    <r>
      <rPr>
        <vertAlign val="subscript"/>
        <sz val="12"/>
        <color indexed="8"/>
        <rFont val="Calibri"/>
        <family val="0"/>
      </rPr>
      <t>a</t>
    </r>
  </si>
  <si>
    <r>
      <t>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a4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</si>
  <si>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</t>
    </r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</si>
  <si>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=</t>
    </r>
  </si>
  <si>
    <t>Q=</t>
  </si>
  <si>
    <t>Leggo h3 dal diagramma psicrometrico</t>
  </si>
  <si>
    <r>
      <t>kJ/kg</t>
    </r>
    <r>
      <rPr>
        <vertAlign val="subscript"/>
        <sz val="12"/>
        <color indexed="8"/>
        <rFont val="Calibri"/>
        <family val="0"/>
      </rPr>
      <t>a</t>
    </r>
  </si>
  <si>
    <t>Si osserva che l'approssimazione è accettabile. Infatti applicando l'equazione dell'entalpia si ha:</t>
  </si>
  <si>
    <t xml:space="preserve"> a T=110°C</t>
  </si>
  <si>
    <t>Quindi l'entalpia del vapore inserito per umidificare la corrente d'aria è:</t>
  </si>
  <si>
    <t>alla temperatura T2=20°C.</t>
  </si>
  <si>
    <t>Riscaldamento a T=20°C e umidificazione adiabatica con vapore saturo secco</t>
  </si>
  <si>
    <t>isoterma a T = 20°C,</t>
  </si>
  <si>
    <t>Pendenza della trasformazione</t>
  </si>
  <si>
    <t>portata massica risultante</t>
  </si>
  <si>
    <t>potenza frigorifera Q</t>
  </si>
  <si>
    <r>
      <t>portata volumetrica a valle della batteria di raffreddamento V</t>
    </r>
    <r>
      <rPr>
        <vertAlign val="subscript"/>
        <sz val="12"/>
        <color indexed="8"/>
        <rFont val="Calibri"/>
        <family val="0"/>
      </rPr>
      <t>4</t>
    </r>
  </si>
  <si>
    <r>
      <t>V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a4</t>
    </r>
    <r>
      <rPr>
        <sz val="12"/>
        <color theme="1"/>
        <rFont val="Calibri"/>
        <family val="2"/>
      </rPr>
      <t>*v</t>
    </r>
    <r>
      <rPr>
        <vertAlign val="subscript"/>
        <sz val="12"/>
        <color indexed="8"/>
        <rFont val="Calibri"/>
        <family val="0"/>
      </rPr>
      <t>4</t>
    </r>
  </si>
  <si>
    <r>
      <t>V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*v</t>
    </r>
    <r>
      <rPr>
        <vertAlign val="subscript"/>
        <sz val="12"/>
        <color indexed="8"/>
        <rFont val="Calibri"/>
        <family val="0"/>
      </rPr>
      <t>3</t>
    </r>
  </si>
  <si>
    <r>
      <t>a)</t>
    </r>
    <r>
      <rPr>
        <sz val="7"/>
        <color indexed="8"/>
        <rFont val="Calibri"/>
        <family val="2"/>
      </rPr>
      <t xml:space="preserve">               </t>
    </r>
    <r>
      <rPr>
        <sz val="12"/>
        <color theme="1"/>
        <rFont val="Calibri"/>
        <family val="2"/>
      </rPr>
      <t>la portata risultante dal mescolamento adiabatico e la sua temperatura;</t>
    </r>
  </si>
  <si>
    <r>
      <t>b)</t>
    </r>
    <r>
      <rPr>
        <sz val="7"/>
        <color indexed="8"/>
        <rFont val="Calibri"/>
        <family val="2"/>
      </rPr>
      <t xml:space="preserve">              </t>
    </r>
    <r>
      <rPr>
        <sz val="12"/>
        <color theme="1"/>
        <rFont val="Calibri"/>
        <family val="2"/>
      </rPr>
      <t>la portata d’acqua necessaria al processo di umidificazione;</t>
    </r>
  </si>
  <si>
    <r>
      <t>c)</t>
    </r>
    <r>
      <rPr>
        <sz val="7"/>
        <color indexed="8"/>
        <rFont val="Calibri"/>
        <family val="2"/>
      </rPr>
      <t xml:space="preserve">               </t>
    </r>
    <r>
      <rPr>
        <sz val="12"/>
        <color theme="1"/>
        <rFont val="Calibri"/>
        <family val="2"/>
      </rPr>
      <t>la potenzialità della batteria di riscaldamento nel caso in cui l’umidificazione è realizzata con vapore saturo secco a 110°C.</t>
    </r>
  </si>
  <si>
    <t>dalla lettura del diagramma psicrometrico</t>
  </si>
  <si>
    <t>PENDENZA DELLA TRASFORMAZIONE</t>
  </si>
  <si>
    <t>Esercizio 4</t>
  </si>
  <si>
    <t>Scrivo le equazioni di bilancio</t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</si>
  <si>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Symbol"/>
        <family val="1"/>
      </rPr>
      <t>2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a3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Symbol"/>
        <family val="1"/>
      </rPr>
      <t>3</t>
    </r>
  </si>
  <si>
    <t>Esercizio 5</t>
  </si>
  <si>
    <t>Esercizio 7</t>
  </si>
  <si>
    <t>potenzialità della batteria di riscaldamento</t>
  </si>
  <si>
    <t>portata di acqua necessaria all’umidificazione</t>
  </si>
  <si>
    <t>temperatura in uscita dal saturatore</t>
  </si>
  <si>
    <t>CALCOLARE</t>
  </si>
  <si>
    <t>Nel DIAGRAMMA in corrispondenza del punto a T=10°C e UR = 10% leggo il volume specifico</t>
  </si>
  <si>
    <t>L'umidificazione avviene con acqua liquida a Tw =20°C</t>
  </si>
  <si>
    <r>
      <t>T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, UR</t>
    </r>
    <r>
      <rPr>
        <vertAlign val="subscript"/>
        <sz val="12"/>
        <color indexed="8"/>
        <rFont val="Calibri"/>
        <family val="0"/>
      </rPr>
      <t>3</t>
    </r>
  </si>
  <si>
    <r>
      <t>T</t>
    </r>
    <r>
      <rPr>
        <vertAlign val="subscript"/>
        <sz val="12"/>
        <color indexed="8"/>
        <rFont val="Calibri"/>
        <family val="0"/>
      </rPr>
      <t>4</t>
    </r>
  </si>
  <si>
    <r>
      <t>m</t>
    </r>
    <r>
      <rPr>
        <vertAlign val="subscript"/>
        <sz val="12"/>
        <color indexed="8"/>
        <rFont val="Calibri"/>
        <family val="0"/>
      </rPr>
      <t>w</t>
    </r>
  </si>
  <si>
    <t>Il punto 4 si trova sulla curva di saturazione a h3=h4. Quindi leggo l'umidità specifica come ordinata del punto 4 e la temperatura di bulbo asciutto come ascissa del puto 4</t>
  </si>
  <si>
    <t>Per calcolare la portata d'acqua da introdurre per l'umidificazionesi scrive il bilancio di massa dell'acqua, sapendo che la massa d'aria secca rimane costante</t>
  </si>
  <si>
    <r>
      <rPr>
        <sz val="12"/>
        <color indexed="8"/>
        <rFont val="Symbol"/>
        <family val="0"/>
      </rPr>
      <t>D</t>
    </r>
    <r>
      <rPr>
        <sz val="12"/>
        <color theme="1"/>
        <rFont val="Calibri"/>
        <family val="2"/>
      </rPr>
      <t>h/</t>
    </r>
    <r>
      <rPr>
        <sz val="12"/>
        <color indexed="8"/>
        <rFont val="Symbol"/>
        <family val="0"/>
      </rPr>
      <t>Dw</t>
    </r>
  </si>
  <si>
    <r>
      <t>(h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)/(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)</t>
    </r>
  </si>
  <si>
    <r>
      <t>h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0"/>
      </rPr>
      <t>3</t>
    </r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</si>
  <si>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Symbol"/>
        <family val="1"/>
      </rPr>
      <t>3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Symbol"/>
        <family val="1"/>
      </rPr>
      <t>1</t>
    </r>
  </si>
  <si>
    <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0"/>
      </rPr>
      <t>1</t>
    </r>
  </si>
  <si>
    <r>
      <t>(h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)/(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)</t>
    </r>
  </si>
  <si>
    <t>35°C</t>
  </si>
  <si>
    <r>
      <t>Q</t>
    </r>
    <r>
      <rPr>
        <b/>
        <vertAlign val="subscript"/>
        <sz val="12"/>
        <color indexed="8"/>
        <rFont val="Calibri"/>
        <family val="0"/>
      </rPr>
      <t>raff</t>
    </r>
  </si>
  <si>
    <r>
      <t>m</t>
    </r>
    <r>
      <rPr>
        <b/>
        <vertAlign val="subscript"/>
        <sz val="12"/>
        <color indexed="8"/>
        <rFont val="Calibri"/>
        <family val="0"/>
      </rPr>
      <t>w</t>
    </r>
  </si>
  <si>
    <r>
      <t>Q</t>
    </r>
    <r>
      <rPr>
        <b/>
        <i/>
        <vertAlign val="subscript"/>
        <sz val="12"/>
        <color indexed="8"/>
        <rFont val="Calibri"/>
        <family val="0"/>
      </rPr>
      <t>postrisc</t>
    </r>
  </si>
  <si>
    <t>In condizioni di saturazione (punto 1') la temperatura della corrente d'aria è la temperatura di rugiada nelle condizioni di ingresso (T1=35°C, p=patm)</t>
  </si>
  <si>
    <t>Tr= 26°C</t>
  </si>
  <si>
    <t>Il punto 2 è individuato alla T=10°C, temperatura alla quale esce l'aria raffreddata dalla batteria di raffreddamento.</t>
  </si>
  <si>
    <t>Individuato il punto 2, ne leggo la corrispondente umidità specifica sull'asse delle ordinate</t>
  </si>
  <si>
    <t xml:space="preserve">All'uscita dalla batteria di raffreddamento l'aria viene riscaldata fino alla T= 18° </t>
  </si>
  <si>
    <t>Il riscaldamento è semplice, cioè ad umidità specifica costante</t>
  </si>
  <si>
    <r>
      <t>Il punto di intersezione (</t>
    </r>
    <r>
      <rPr>
        <b/>
        <sz val="12"/>
        <color indexed="8"/>
        <rFont val="Calibri"/>
        <family val="2"/>
      </rPr>
      <t>punto 3</t>
    </r>
    <r>
      <rPr>
        <sz val="12"/>
        <color theme="1"/>
        <rFont val="Calibri"/>
        <family val="2"/>
      </rPr>
      <t>) di tale segmento con il segmento verticale condotto a T=18°C rappresenta le condizioni di uscita dell'aria dalla batteria di post-riscaldamento</t>
    </r>
  </si>
  <si>
    <t>Leggo dal diagramma psicrometrico l'entalpia specifica del punto 3</t>
  </si>
  <si>
    <t>Si scrivono i bilanci per calcolare la portata d'acqua condensata e la potenza di raffreddamento</t>
  </si>
  <si>
    <t>Dall'apposita tabella A45 pag.A-18 del file "APPENDICE AL CAPITOLO 1 UNITÀ DI MISURA INTERPOLAZIONE LINEARE TABELLE" si legge hl</t>
  </si>
  <si>
    <t>a T=10°C</t>
  </si>
  <si>
    <r>
      <t>m</t>
    </r>
    <r>
      <rPr>
        <b/>
        <vertAlign val="subscript"/>
        <sz val="12"/>
        <color indexed="8"/>
        <rFont val="Calibri"/>
        <family val="0"/>
      </rPr>
      <t>w</t>
    </r>
    <r>
      <rPr>
        <b/>
        <sz val="12"/>
        <color indexed="8"/>
        <rFont val="Calibri"/>
        <family val="2"/>
      </rPr>
      <t>=m</t>
    </r>
    <r>
      <rPr>
        <b/>
        <vertAlign val="subscript"/>
        <sz val="12"/>
        <color indexed="8"/>
        <rFont val="Calibri"/>
        <family val="0"/>
      </rPr>
      <t>a</t>
    </r>
    <r>
      <rPr>
        <b/>
        <sz val="12"/>
        <color indexed="8"/>
        <rFont val="Calibri"/>
        <family val="2"/>
      </rPr>
      <t>(</t>
    </r>
    <r>
      <rPr>
        <b/>
        <sz val="12"/>
        <color indexed="8"/>
        <rFont val="Symbol"/>
        <family val="0"/>
      </rPr>
      <t>w</t>
    </r>
    <r>
      <rPr>
        <b/>
        <vertAlign val="subscript"/>
        <sz val="12"/>
        <color indexed="8"/>
        <rFont val="Calibri"/>
        <family val="0"/>
      </rPr>
      <t>1</t>
    </r>
    <r>
      <rPr>
        <b/>
        <sz val="12"/>
        <color indexed="8"/>
        <rFont val="Calibri"/>
        <family val="2"/>
      </rPr>
      <t>-</t>
    </r>
    <r>
      <rPr>
        <b/>
        <sz val="12"/>
        <color indexed="8"/>
        <rFont val="Symbol"/>
        <family val="0"/>
      </rPr>
      <t>w</t>
    </r>
    <r>
      <rPr>
        <b/>
        <vertAlign val="subscript"/>
        <sz val="12"/>
        <color indexed="8"/>
        <rFont val="Calibri"/>
        <family val="0"/>
      </rPr>
      <t>2</t>
    </r>
    <r>
      <rPr>
        <b/>
        <sz val="12"/>
        <color indexed="8"/>
        <rFont val="Calibri"/>
        <family val="2"/>
      </rPr>
      <t>)</t>
    </r>
  </si>
  <si>
    <t>Processo di post-riscaldamento 2-3</t>
  </si>
  <si>
    <t>37°C</t>
  </si>
  <si>
    <t>In condizioni di saturazione (punto 1') la temperatura della corrente d'aria è la temperatura di rugiada nelle condizioni di ingresso (T1=37°C, p=patm)</t>
  </si>
  <si>
    <t>Tr= 21,3°C</t>
  </si>
  <si>
    <r>
      <t>Si ricava l'entalpia dell'acqua condensata h</t>
    </r>
    <r>
      <rPr>
        <vertAlign val="subscript"/>
        <sz val="12"/>
        <color indexed="8"/>
        <rFont val="Calibri"/>
        <family val="0"/>
      </rPr>
      <t xml:space="preserve">w </t>
    </r>
    <r>
      <rPr>
        <sz val="12"/>
        <color theme="1"/>
        <rFont val="Calibri"/>
        <family val="2"/>
      </rPr>
      <t>dall'apposita tabella A45 pag.A-18 del file "APPENDICE AL CAPITOLO 1 UNITÀ DI MISURA INTERPOLAZIONE LINEARE TABELLE". Si esegue l'interpolazione per trovare hw</t>
    </r>
  </si>
  <si>
    <t>All'uscita dalla batteria di raffreddamento l'aria viene riscaldata fino alla T= 22° C e UR=50%</t>
  </si>
  <si>
    <r>
      <t>Q</t>
    </r>
    <r>
      <rPr>
        <vertAlign val="subscript"/>
        <sz val="12"/>
        <color indexed="8"/>
        <rFont val="Calibri"/>
        <family val="0"/>
      </rPr>
      <t>postrisc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</t>
    </r>
  </si>
  <si>
    <t>Esercizio 6</t>
  </si>
  <si>
    <t>Esercizio 8</t>
  </si>
  <si>
    <t>Esercizio 9</t>
  </si>
  <si>
    <t>Esercizio 10</t>
  </si>
  <si>
    <t>Dal diagramma leggo la temperatura in uscita dal saturatore</t>
  </si>
  <si>
    <t>Raffreddamento con deumidificazione e mescolamento adiabatico</t>
  </si>
  <si>
    <t>RAFFREDDAMENTO SEMPLICE 3-4</t>
  </si>
  <si>
    <t>MESCOLAMENTO ADIABATICO tra le portate 1 e 2</t>
  </si>
  <si>
    <t>16,5°C</t>
  </si>
  <si>
    <r>
      <t>T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 xml:space="preserve"> </t>
    </r>
  </si>
  <si>
    <t>Mescolamento adiabatico e umidificazione</t>
  </si>
  <si>
    <t>Umidificazione a UR=80%</t>
  </si>
  <si>
    <t>Umidificazione isoterma</t>
  </si>
  <si>
    <t>di portata mw di 6,4g/s</t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</si>
  <si>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+</t>
    </r>
    <r>
      <rPr>
        <sz val="12"/>
        <color theme="1"/>
        <rFont val="Calibri"/>
        <family val="2"/>
      </rPr>
      <t>Q=m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</si>
  <si>
    <r>
      <t>Q=m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0"/>
      </rPr>
      <t>2-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)</t>
    </r>
  </si>
  <si>
    <r>
      <t>m</t>
    </r>
    <r>
      <rPr>
        <vertAlign val="subscript"/>
        <sz val="12"/>
        <color indexed="8"/>
        <rFont val="Calibri"/>
        <family val="2"/>
      </rPr>
      <t>3</t>
    </r>
  </si>
  <si>
    <t>Riscaldamento a T=28°C e umidificazione passando a UR=40%</t>
  </si>
  <si>
    <r>
      <t>PENDENZA DELLA TRASFORMAZIONE 3-4, subita dalla massa totale m</t>
    </r>
    <r>
      <rPr>
        <vertAlign val="subscript"/>
        <sz val="12"/>
        <color indexed="8"/>
        <rFont val="Calibri"/>
        <family val="2"/>
      </rPr>
      <t>3</t>
    </r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</si>
  <si>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 xml:space="preserve">4 </t>
    </r>
    <r>
      <rPr>
        <sz val="12"/>
        <color indexed="8"/>
        <rFont val="Calibri"/>
        <family val="2"/>
      </rPr>
      <t>+ Q</t>
    </r>
  </si>
  <si>
    <r>
      <t>Q</t>
    </r>
    <r>
      <rPr>
        <b/>
        <vertAlign val="subscript"/>
        <sz val="12"/>
        <color indexed="8"/>
        <rFont val="Calibri"/>
        <family val="2"/>
      </rPr>
      <t>postrisc</t>
    </r>
    <r>
      <rPr>
        <b/>
        <sz val="12"/>
        <color indexed="8"/>
        <rFont val="Calibri"/>
        <family val="2"/>
      </rPr>
      <t>=m</t>
    </r>
    <r>
      <rPr>
        <b/>
        <vertAlign val="subscript"/>
        <sz val="12"/>
        <color indexed="8"/>
        <rFont val="Calibri"/>
        <family val="0"/>
      </rPr>
      <t>a</t>
    </r>
    <r>
      <rPr>
        <b/>
        <sz val="12"/>
        <color indexed="8"/>
        <rFont val="Calibri"/>
        <family val="2"/>
      </rPr>
      <t>(h</t>
    </r>
    <r>
      <rPr>
        <b/>
        <vertAlign val="subscript"/>
        <sz val="12"/>
        <color indexed="8"/>
        <rFont val="Calibri"/>
        <family val="0"/>
      </rPr>
      <t>3</t>
    </r>
    <r>
      <rPr>
        <b/>
        <sz val="12"/>
        <color indexed="8"/>
        <rFont val="Calibri"/>
        <family val="2"/>
      </rPr>
      <t>-h</t>
    </r>
    <r>
      <rPr>
        <b/>
        <vertAlign val="subscript"/>
        <sz val="12"/>
        <color indexed="8"/>
        <rFont val="Calibri"/>
        <family val="0"/>
      </rPr>
      <t>2</t>
    </r>
    <r>
      <rPr>
        <b/>
        <sz val="12"/>
        <color indexed="8"/>
        <rFont val="Calibri"/>
        <family val="2"/>
      </rPr>
      <t>)</t>
    </r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</si>
  <si>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=Q</t>
    </r>
    <r>
      <rPr>
        <vertAlign val="subscript"/>
        <sz val="12"/>
        <color indexed="8"/>
        <rFont val="Calibri"/>
        <family val="2"/>
      </rPr>
      <t>raffr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</si>
  <si>
    <r>
      <t>Q</t>
    </r>
    <r>
      <rPr>
        <b/>
        <vertAlign val="subscript"/>
        <sz val="12"/>
        <color indexed="8"/>
        <rFont val="Calibri"/>
        <family val="2"/>
      </rPr>
      <t>raffr</t>
    </r>
    <r>
      <rPr>
        <b/>
        <sz val="12"/>
        <color indexed="8"/>
        <rFont val="Calibri"/>
        <family val="2"/>
      </rPr>
      <t>=m</t>
    </r>
    <r>
      <rPr>
        <b/>
        <vertAlign val="subscript"/>
        <sz val="12"/>
        <color indexed="8"/>
        <rFont val="Calibri"/>
        <family val="0"/>
      </rPr>
      <t>a</t>
    </r>
    <r>
      <rPr>
        <b/>
        <sz val="12"/>
        <color indexed="8"/>
        <rFont val="Calibri"/>
        <family val="2"/>
      </rPr>
      <t>(h</t>
    </r>
    <r>
      <rPr>
        <b/>
        <vertAlign val="subscript"/>
        <sz val="12"/>
        <color indexed="8"/>
        <rFont val="Calibri"/>
        <family val="0"/>
      </rPr>
      <t>1</t>
    </r>
    <r>
      <rPr>
        <b/>
        <sz val="12"/>
        <color indexed="8"/>
        <rFont val="Calibri"/>
        <family val="2"/>
      </rPr>
      <t>-h</t>
    </r>
    <r>
      <rPr>
        <b/>
        <vertAlign val="subscript"/>
        <sz val="12"/>
        <color indexed="8"/>
        <rFont val="Calibri"/>
        <family val="0"/>
      </rPr>
      <t>2</t>
    </r>
    <r>
      <rPr>
        <b/>
        <sz val="12"/>
        <color indexed="8"/>
        <rFont val="Calibri"/>
        <family val="2"/>
      </rPr>
      <t>)-m</t>
    </r>
    <r>
      <rPr>
        <b/>
        <vertAlign val="subscript"/>
        <sz val="12"/>
        <color indexed="8"/>
        <rFont val="Calibri"/>
        <family val="0"/>
      </rPr>
      <t>w</t>
    </r>
    <r>
      <rPr>
        <b/>
        <sz val="12"/>
        <color indexed="8"/>
        <rFont val="Calibri"/>
        <family val="2"/>
      </rPr>
      <t>h</t>
    </r>
    <r>
      <rPr>
        <b/>
        <vertAlign val="subscript"/>
        <sz val="12"/>
        <color indexed="8"/>
        <rFont val="Calibri"/>
        <family val="0"/>
      </rPr>
      <t>w</t>
    </r>
  </si>
  <si>
    <t>Qraff</t>
  </si>
  <si>
    <r>
      <t>m</t>
    </r>
    <r>
      <rPr>
        <vertAlign val="subscript"/>
        <sz val="11"/>
        <color indexed="8"/>
        <rFont val="Calibri"/>
        <family val="2"/>
      </rPr>
      <t>w</t>
    </r>
  </si>
  <si>
    <r>
      <t>V</t>
    </r>
    <r>
      <rPr>
        <vertAlign val="subscript"/>
        <sz val="12"/>
        <color indexed="8"/>
        <rFont val="Calibri"/>
        <family val="0"/>
      </rPr>
      <t>1</t>
    </r>
  </si>
  <si>
    <r>
      <t>V</t>
    </r>
    <r>
      <rPr>
        <vertAlign val="subscript"/>
        <sz val="12"/>
        <color indexed="8"/>
        <rFont val="Calibri"/>
        <family val="0"/>
      </rPr>
      <t>2</t>
    </r>
  </si>
  <si>
    <t>Dall'interpolazione lineare tra v=0,82 e v= 0,84 (T'=17°C e T''=20°C ) risulta</t>
  </si>
  <si>
    <r>
      <t>v</t>
    </r>
    <r>
      <rPr>
        <vertAlign val="subscript"/>
        <sz val="12"/>
        <color indexed="8"/>
        <rFont val="Calibri"/>
        <family val="2"/>
      </rPr>
      <t>1</t>
    </r>
  </si>
  <si>
    <r>
      <t>m</t>
    </r>
    <r>
      <rPr>
        <vertAlign val="super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/kg</t>
    </r>
  </si>
  <si>
    <r>
      <t>m</t>
    </r>
    <r>
      <rPr>
        <vertAlign val="subscript"/>
        <sz val="12"/>
        <color indexed="8"/>
        <rFont val="Calibri"/>
        <family val="2"/>
      </rPr>
      <t>a1</t>
    </r>
    <r>
      <rPr>
        <sz val="12"/>
        <color theme="1"/>
        <rFont val="Calibri"/>
        <family val="2"/>
      </rPr>
      <t>=</t>
    </r>
  </si>
  <si>
    <r>
      <t>V</t>
    </r>
    <r>
      <rPr>
        <vertAlign val="subscript"/>
        <sz val="12"/>
        <color indexed="8"/>
        <rFont val="Calibri"/>
        <family val="2"/>
      </rPr>
      <t>a1</t>
    </r>
    <r>
      <rPr>
        <sz val="12"/>
        <color theme="1"/>
        <rFont val="Calibri"/>
        <family val="2"/>
      </rPr>
      <t>/v</t>
    </r>
    <r>
      <rPr>
        <vertAlign val="subscript"/>
        <sz val="12"/>
        <color indexed="8"/>
        <rFont val="Calibri"/>
        <family val="2"/>
      </rPr>
      <t>a1</t>
    </r>
  </si>
  <si>
    <r>
      <t>v</t>
    </r>
    <r>
      <rPr>
        <vertAlign val="subscript"/>
        <sz val="12"/>
        <color indexed="8"/>
        <rFont val="Calibri"/>
        <family val="2"/>
      </rPr>
      <t>2</t>
    </r>
  </si>
  <si>
    <r>
      <t>m</t>
    </r>
    <r>
      <rPr>
        <vertAlign val="subscript"/>
        <sz val="12"/>
        <color indexed="8"/>
        <rFont val="Calibri"/>
        <family val="2"/>
      </rPr>
      <t>a2</t>
    </r>
    <r>
      <rPr>
        <sz val="12"/>
        <color theme="1"/>
        <rFont val="Calibri"/>
        <family val="2"/>
      </rPr>
      <t>=</t>
    </r>
  </si>
  <si>
    <r>
      <t>V</t>
    </r>
    <r>
      <rPr>
        <vertAlign val="subscript"/>
        <sz val="12"/>
        <color indexed="8"/>
        <rFont val="Calibri"/>
        <family val="2"/>
      </rPr>
      <t>a2</t>
    </r>
    <r>
      <rPr>
        <sz val="12"/>
        <color theme="1"/>
        <rFont val="Calibri"/>
        <family val="2"/>
      </rPr>
      <t>/v</t>
    </r>
    <r>
      <rPr>
        <vertAlign val="subscript"/>
        <sz val="12"/>
        <color indexed="8"/>
        <rFont val="Calibri"/>
        <family val="2"/>
      </rPr>
      <t>a2</t>
    </r>
  </si>
  <si>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1</t>
    </r>
  </si>
  <si>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2</t>
    </r>
  </si>
  <si>
    <r>
      <t>h</t>
    </r>
    <r>
      <rPr>
        <vertAlign val="subscript"/>
        <sz val="12"/>
        <color indexed="8"/>
        <rFont val="Calibri"/>
        <family val="2"/>
      </rPr>
      <t>1</t>
    </r>
  </si>
  <si>
    <r>
      <t>h</t>
    </r>
    <r>
      <rPr>
        <vertAlign val="subscript"/>
        <sz val="12"/>
        <color indexed="8"/>
        <rFont val="Calibri"/>
        <family val="2"/>
      </rPr>
      <t>2</t>
    </r>
  </si>
  <si>
    <r>
      <t>h1 =c</t>
    </r>
    <r>
      <rPr>
        <vertAlign val="subscript"/>
        <sz val="12"/>
        <color indexed="8"/>
        <rFont val="Calibri"/>
        <family val="2"/>
      </rPr>
      <t>p,a</t>
    </r>
    <r>
      <rPr>
        <sz val="12"/>
        <color theme="1"/>
        <rFont val="Calibri"/>
        <family val="2"/>
      </rPr>
      <t>T1+</t>
    </r>
    <r>
      <rPr>
        <sz val="12"/>
        <color indexed="8"/>
        <rFont val="Symbol"/>
        <family val="1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1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2"/>
      </rPr>
      <t>p,v</t>
    </r>
    <r>
      <rPr>
        <sz val="12"/>
        <color theme="1"/>
        <rFont val="Calibri"/>
        <family val="2"/>
      </rPr>
      <t>T1)</t>
    </r>
  </si>
  <si>
    <r>
      <t>h2 =c</t>
    </r>
    <r>
      <rPr>
        <vertAlign val="subscript"/>
        <sz val="12"/>
        <color indexed="8"/>
        <rFont val="Calibri"/>
        <family val="2"/>
      </rPr>
      <t>p,a</t>
    </r>
    <r>
      <rPr>
        <sz val="12"/>
        <color theme="1"/>
        <rFont val="Calibri"/>
        <family val="2"/>
      </rPr>
      <t>T2+</t>
    </r>
    <r>
      <rPr>
        <sz val="12"/>
        <color indexed="8"/>
        <rFont val="Symbol"/>
        <family val="1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1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2"/>
      </rPr>
      <t>p,v</t>
    </r>
    <r>
      <rPr>
        <sz val="12"/>
        <color theme="1"/>
        <rFont val="Calibri"/>
        <family val="2"/>
      </rPr>
      <t>T2)</t>
    </r>
  </si>
  <si>
    <t xml:space="preserve">Calcolo le proprietà della corrente d'aria umida risultante in uscita dalla sezione di mescolamento adiabatico, attraverso i bilanci di massa e </t>
  </si>
  <si>
    <t xml:space="preserve">di energia tra la sezione di ingresso e la sezione di uscita </t>
  </si>
  <si>
    <r>
      <t>m</t>
    </r>
    <r>
      <rPr>
        <vertAlign val="subscript"/>
        <sz val="12"/>
        <color indexed="8"/>
        <rFont val="Calibri"/>
        <family val="2"/>
      </rPr>
      <t>a1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2"/>
      </rPr>
      <t>a2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2"/>
      </rPr>
      <t>a3</t>
    </r>
  </si>
  <si>
    <r>
      <t>m</t>
    </r>
    <r>
      <rPr>
        <vertAlign val="subscript"/>
        <sz val="12"/>
        <color indexed="8"/>
        <rFont val="Calibri"/>
        <family val="2"/>
      </rPr>
      <t>a3</t>
    </r>
    <r>
      <rPr>
        <sz val="12"/>
        <color theme="1"/>
        <rFont val="Calibri"/>
        <family val="2"/>
      </rPr>
      <t xml:space="preserve"> =m</t>
    </r>
    <r>
      <rPr>
        <vertAlign val="subscript"/>
        <sz val="12"/>
        <color indexed="8"/>
        <rFont val="Calibri"/>
        <family val="2"/>
      </rPr>
      <t>a1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2"/>
      </rPr>
      <t>a2</t>
    </r>
  </si>
  <si>
    <r>
      <t>m</t>
    </r>
    <r>
      <rPr>
        <vertAlign val="subscript"/>
        <sz val="12"/>
        <color indexed="8"/>
        <rFont val="Calibri"/>
        <family val="2"/>
      </rPr>
      <t>a1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2"/>
      </rPr>
      <t>a2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2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2"/>
      </rPr>
      <t>a3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3</t>
    </r>
  </si>
  <si>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=(m</t>
    </r>
    <r>
      <rPr>
        <vertAlign val="subscript"/>
        <sz val="12"/>
        <color indexed="8"/>
        <rFont val="Calibri"/>
        <family val="2"/>
      </rPr>
      <t>a1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2"/>
      </rPr>
      <t>a2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2</t>
    </r>
    <r>
      <rPr>
        <sz val="12"/>
        <color theme="1"/>
        <rFont val="Calibri"/>
        <family val="2"/>
      </rPr>
      <t>)/(m</t>
    </r>
    <r>
      <rPr>
        <vertAlign val="subscript"/>
        <sz val="12"/>
        <color indexed="8"/>
        <rFont val="Calibri"/>
        <family val="2"/>
      </rPr>
      <t>a1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2"/>
      </rPr>
      <t>a2</t>
    </r>
    <r>
      <rPr>
        <sz val="12"/>
        <color theme="1"/>
        <rFont val="Calibri"/>
        <family val="2"/>
      </rPr>
      <t>)</t>
    </r>
  </si>
  <si>
    <r>
      <t>m</t>
    </r>
    <r>
      <rPr>
        <vertAlign val="subscript"/>
        <sz val="12"/>
        <color indexed="8"/>
        <rFont val="Calibri"/>
        <family val="2"/>
      </rPr>
      <t>a1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2"/>
      </rPr>
      <t>a2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2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2"/>
      </rPr>
      <t>a3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3</t>
    </r>
  </si>
  <si>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=(m</t>
    </r>
    <r>
      <rPr>
        <vertAlign val="subscript"/>
        <sz val="12"/>
        <color indexed="8"/>
        <rFont val="Calibri"/>
        <family val="2"/>
      </rPr>
      <t>a1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2"/>
      </rPr>
      <t>a2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2</t>
    </r>
    <r>
      <rPr>
        <sz val="12"/>
        <color theme="1"/>
        <rFont val="Calibri"/>
        <family val="2"/>
      </rPr>
      <t>)/(m</t>
    </r>
    <r>
      <rPr>
        <vertAlign val="subscript"/>
        <sz val="12"/>
        <color indexed="8"/>
        <rFont val="Calibri"/>
        <family val="2"/>
      </rPr>
      <t>a1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2"/>
      </rPr>
      <t>a2</t>
    </r>
    <r>
      <rPr>
        <sz val="12"/>
        <color theme="1"/>
        <rFont val="Calibri"/>
        <family val="2"/>
      </rPr>
      <t>)</t>
    </r>
  </si>
  <si>
    <r>
      <t>Essendo la portata m</t>
    </r>
    <r>
      <rPr>
        <vertAlign val="subscript"/>
        <sz val="12"/>
        <color indexed="8"/>
        <rFont val="Calibri"/>
        <family val="2"/>
      </rPr>
      <t>a1</t>
    </r>
    <r>
      <rPr>
        <sz val="12"/>
        <color theme="1"/>
        <rFont val="Calibri"/>
        <family val="2"/>
      </rPr>
      <t xml:space="preserve"> minore di m</t>
    </r>
    <r>
      <rPr>
        <vertAlign val="subscript"/>
        <sz val="12"/>
        <color indexed="8"/>
        <rFont val="Calibri"/>
        <family val="2"/>
      </rPr>
      <t>a2</t>
    </r>
    <r>
      <rPr>
        <sz val="12"/>
        <color theme="1"/>
        <rFont val="Calibri"/>
        <family val="2"/>
      </rPr>
      <t>, il punto 3 rappresentativo della corrente risultante è più vicino al punto 2, rappresentativo della corrente</t>
    </r>
  </si>
  <si>
    <t xml:space="preserve"> di massa ma2</t>
  </si>
  <si>
    <r>
      <t>T</t>
    </r>
    <r>
      <rPr>
        <vertAlign val="subscript"/>
        <sz val="12"/>
        <color indexed="8"/>
        <rFont val="Calibri"/>
        <family val="2"/>
      </rPr>
      <t>3</t>
    </r>
  </si>
  <si>
    <t>In condizioni di saturazione (punto 3') la temperatura della corrente d'aria è la temperatura di rugiada nelle condizioni di ingresso</t>
  </si>
  <si>
    <t xml:space="preserve"> (T3=22,8°C, p=patm)</t>
  </si>
  <si>
    <t>Tr= 15°C</t>
  </si>
  <si>
    <t xml:space="preserve">Imposto i bilanci di massa e di energia tra l'ingresso (punto 3) e l'uscita dalla batteria di raffreddamento con deumidificazione (punto 4) </t>
  </si>
  <si>
    <t>a temperatura T4 = 12°C</t>
  </si>
  <si>
    <t>Il punto 4 è individuato alla T=12°C, temperatura alla quale esce l'aria raffreddata dalla batteria di raffreddamento. Si suppone che anche l'acqua</t>
  </si>
  <si>
    <t xml:space="preserve"> esca a temperatura 12°C</t>
  </si>
  <si>
    <t>Individuato il punto 4, ne leggo la corrispondente umidità specifica sull'asse delle ordinate</t>
  </si>
  <si>
    <r>
      <rPr>
        <sz val="11"/>
        <color indexed="8"/>
        <rFont val="Symbol"/>
        <family val="1"/>
      </rPr>
      <t>w</t>
    </r>
    <r>
      <rPr>
        <sz val="12"/>
        <color theme="1"/>
        <rFont val="Calibri"/>
        <family val="2"/>
      </rPr>
      <t>4</t>
    </r>
  </si>
  <si>
    <t>h4</t>
  </si>
  <si>
    <r>
      <t>h4=c</t>
    </r>
    <r>
      <rPr>
        <vertAlign val="subscript"/>
        <sz val="12"/>
        <color indexed="8"/>
        <rFont val="Calibri"/>
        <family val="2"/>
      </rPr>
      <t>p,a</t>
    </r>
    <r>
      <rPr>
        <sz val="12"/>
        <color theme="1"/>
        <rFont val="Calibri"/>
        <family val="2"/>
      </rPr>
      <t>T4+</t>
    </r>
    <r>
      <rPr>
        <sz val="12"/>
        <color indexed="8"/>
        <rFont val="Symbol"/>
        <family val="1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1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2"/>
      </rPr>
      <t>p,v</t>
    </r>
    <r>
      <rPr>
        <sz val="12"/>
        <color theme="1"/>
        <rFont val="Calibri"/>
        <family val="2"/>
      </rPr>
      <t>T4)</t>
    </r>
  </si>
  <si>
    <r>
      <t>m</t>
    </r>
    <r>
      <rPr>
        <vertAlign val="subscript"/>
        <sz val="11"/>
        <color indexed="8"/>
        <rFont val="Calibri"/>
        <family val="2"/>
      </rPr>
      <t>a3</t>
    </r>
    <r>
      <rPr>
        <sz val="12"/>
        <color theme="1"/>
        <rFont val="Calibri"/>
        <family val="2"/>
      </rPr>
      <t>=m</t>
    </r>
    <r>
      <rPr>
        <vertAlign val="subscript"/>
        <sz val="11"/>
        <color indexed="8"/>
        <rFont val="Calibri"/>
        <family val="2"/>
      </rPr>
      <t>a4</t>
    </r>
  </si>
  <si>
    <t>Bilancio di massa del vapore</t>
  </si>
  <si>
    <r>
      <t>m</t>
    </r>
    <r>
      <rPr>
        <vertAlign val="subscript"/>
        <sz val="11"/>
        <color indexed="8"/>
        <rFont val="Calibri"/>
        <family val="2"/>
      </rPr>
      <t>a</t>
    </r>
    <r>
      <rPr>
        <sz val="11"/>
        <color indexed="8"/>
        <rFont val="Symbol"/>
        <family val="1"/>
      </rPr>
      <t>w</t>
    </r>
    <r>
      <rPr>
        <vertAlign val="subscript"/>
        <sz val="11"/>
        <color indexed="8"/>
        <rFont val="Calibri"/>
        <family val="2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1"/>
        <color indexed="8"/>
        <rFont val="Calibri"/>
        <family val="2"/>
      </rPr>
      <t>a</t>
    </r>
    <r>
      <rPr>
        <sz val="11"/>
        <color indexed="8"/>
        <rFont val="Symbol"/>
        <family val="1"/>
      </rPr>
      <t>w</t>
    </r>
    <r>
      <rPr>
        <vertAlign val="subscript"/>
        <sz val="11"/>
        <color indexed="8"/>
        <rFont val="Calibri"/>
        <family val="2"/>
      </rPr>
      <t>4</t>
    </r>
    <r>
      <rPr>
        <sz val="12"/>
        <color theme="1"/>
        <rFont val="Calibri"/>
        <family val="2"/>
      </rPr>
      <t>+m</t>
    </r>
    <r>
      <rPr>
        <vertAlign val="subscript"/>
        <sz val="11"/>
        <color indexed="8"/>
        <rFont val="Calibri"/>
        <family val="2"/>
      </rPr>
      <t>w</t>
    </r>
  </si>
  <si>
    <r>
      <t>m</t>
    </r>
    <r>
      <rPr>
        <vertAlign val="subscript"/>
        <sz val="11"/>
        <color indexed="8"/>
        <rFont val="Calibri"/>
        <family val="2"/>
      </rPr>
      <t>w</t>
    </r>
    <r>
      <rPr>
        <sz val="12"/>
        <color theme="1"/>
        <rFont val="Calibri"/>
        <family val="2"/>
      </rPr>
      <t>=m</t>
    </r>
    <r>
      <rPr>
        <vertAlign val="subscript"/>
        <sz val="11"/>
        <color indexed="8"/>
        <rFont val="Calibri"/>
        <family val="2"/>
      </rPr>
      <t>a</t>
    </r>
    <r>
      <rPr>
        <sz val="12"/>
        <color theme="1"/>
        <rFont val="Calibri"/>
        <family val="2"/>
      </rPr>
      <t>(</t>
    </r>
    <r>
      <rPr>
        <sz val="11"/>
        <color indexed="8"/>
        <rFont val="Symbol"/>
        <family val="1"/>
      </rPr>
      <t>w</t>
    </r>
    <r>
      <rPr>
        <vertAlign val="subscript"/>
        <sz val="11"/>
        <color indexed="8"/>
        <rFont val="Calibri"/>
        <family val="2"/>
      </rPr>
      <t>3</t>
    </r>
    <r>
      <rPr>
        <sz val="12"/>
        <color theme="1"/>
        <rFont val="Calibri"/>
        <family val="2"/>
      </rPr>
      <t>-</t>
    </r>
    <r>
      <rPr>
        <sz val="11"/>
        <color indexed="8"/>
        <rFont val="Symbol"/>
        <family val="1"/>
      </rPr>
      <t>w</t>
    </r>
    <r>
      <rPr>
        <vertAlign val="subscript"/>
        <sz val="11"/>
        <color indexed="8"/>
        <rFont val="Calibri"/>
        <family val="2"/>
      </rPr>
      <t>4</t>
    </r>
    <r>
      <rPr>
        <sz val="12"/>
        <color theme="1"/>
        <rFont val="Calibri"/>
        <family val="2"/>
      </rPr>
      <t>)</t>
    </r>
  </si>
  <si>
    <r>
      <t>m</t>
    </r>
    <r>
      <rPr>
        <vertAlign val="subscript"/>
        <sz val="12"/>
        <color indexed="8"/>
        <rFont val="Calibri"/>
        <family val="2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 xml:space="preserve">4 </t>
    </r>
    <r>
      <rPr>
        <sz val="12"/>
        <color theme="1"/>
        <rFont val="Calibri"/>
        <family val="2"/>
      </rPr>
      <t>= Q+m</t>
    </r>
    <r>
      <rPr>
        <vertAlign val="subscript"/>
        <sz val="12"/>
        <color indexed="8"/>
        <rFont val="Calibri"/>
        <family val="2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2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w</t>
    </r>
  </si>
  <si>
    <t>Ocorre ricavare hw</t>
  </si>
  <si>
    <t>Dall'apposita tabella A45 pag.A-18 del file "APPENDICE AL CAPITOLO 1 UNITÀ DI MISURA INTERPOLAZIONE LINEARE TABELLE" si legge hw</t>
  </si>
  <si>
    <t>occorre interpolare tra T = 10°C e T = 15°C, non essendo presente T = 12°C</t>
  </si>
  <si>
    <t>hw</t>
  </si>
  <si>
    <t>T'</t>
  </si>
  <si>
    <t>h'</t>
  </si>
  <si>
    <t>a T=12°C</t>
  </si>
  <si>
    <t>T''</t>
  </si>
  <si>
    <t>h''</t>
  </si>
  <si>
    <r>
      <t>h</t>
    </r>
    <r>
      <rPr>
        <vertAlign val="subscript"/>
        <sz val="11"/>
        <color indexed="8"/>
        <rFont val="Calibri"/>
        <family val="2"/>
      </rPr>
      <t>w</t>
    </r>
    <r>
      <rPr>
        <sz val="12"/>
        <color theme="1"/>
        <rFont val="Calibri"/>
        <family val="2"/>
      </rPr>
      <t xml:space="preserve"> =</t>
    </r>
  </si>
  <si>
    <t>compresa tra hi e h''</t>
  </si>
  <si>
    <r>
      <t>Nota h</t>
    </r>
    <r>
      <rPr>
        <vertAlign val="subscript"/>
        <sz val="11"/>
        <color indexed="8"/>
        <rFont val="Calibri"/>
        <family val="2"/>
      </rPr>
      <t>w</t>
    </r>
    <r>
      <rPr>
        <sz val="12"/>
        <color theme="1"/>
        <rFont val="Calibri"/>
        <family val="2"/>
      </rPr>
      <t xml:space="preserve"> ricavo Q</t>
    </r>
  </si>
  <si>
    <r>
      <rPr>
        <sz val="12"/>
        <color indexed="8"/>
        <rFont val="Symbol"/>
        <family val="1"/>
      </rPr>
      <t>D</t>
    </r>
    <r>
      <rPr>
        <sz val="12"/>
        <color theme="1"/>
        <rFont val="Calibri"/>
        <family val="2"/>
      </rPr>
      <t>h</t>
    </r>
  </si>
  <si>
    <r>
      <t>h</t>
    </r>
    <r>
      <rPr>
        <vertAlign val="subscript"/>
        <sz val="12"/>
        <color indexed="8"/>
        <rFont val="Calibri"/>
        <family val="2"/>
      </rPr>
      <t>4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2"/>
      </rPr>
      <t>3</t>
    </r>
  </si>
  <si>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Symbol"/>
        <family val="1"/>
      </rPr>
      <t>4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Symbol"/>
        <family val="1"/>
      </rPr>
      <t>3</t>
    </r>
  </si>
  <si>
    <r>
      <rPr>
        <sz val="12"/>
        <color indexed="8"/>
        <rFont val="Symbol"/>
        <family val="1"/>
      </rPr>
      <t>D</t>
    </r>
    <r>
      <rPr>
        <sz val="12"/>
        <color theme="1"/>
        <rFont val="Calibri"/>
        <family val="2"/>
      </rPr>
      <t>h/</t>
    </r>
    <r>
      <rPr>
        <sz val="12"/>
        <color indexed="8"/>
        <rFont val="Symbol"/>
        <family val="1"/>
      </rPr>
      <t>Dw</t>
    </r>
  </si>
  <si>
    <r>
      <t>(h</t>
    </r>
    <r>
      <rPr>
        <vertAlign val="subscript"/>
        <sz val="12"/>
        <color indexed="8"/>
        <rFont val="Calibri"/>
        <family val="2"/>
      </rPr>
      <t>4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)/(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4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)</t>
    </r>
  </si>
  <si>
    <t>Esercizio n.11</t>
  </si>
  <si>
    <t xml:space="preserve">temperatura </t>
  </si>
  <si>
    <r>
      <t>Q=m</t>
    </r>
    <r>
      <rPr>
        <vertAlign val="subscript"/>
        <sz val="12"/>
        <color indexed="8"/>
        <rFont val="Calibri"/>
        <family val="2"/>
      </rPr>
      <t>a</t>
    </r>
    <r>
      <rPr>
        <sz val="12"/>
        <color indexed="8"/>
        <rFont val="Calibri"/>
        <family val="2"/>
      </rPr>
      <t>(h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-h</t>
    </r>
    <r>
      <rPr>
        <vertAlign val="subscript"/>
        <sz val="12"/>
        <color indexed="8"/>
        <rFont val="Calibri"/>
        <family val="2"/>
      </rPr>
      <t>4</t>
    </r>
    <r>
      <rPr>
        <sz val="12"/>
        <color indexed="8"/>
        <rFont val="Calibri"/>
        <family val="2"/>
      </rPr>
      <t>)-m</t>
    </r>
    <r>
      <rPr>
        <vertAlign val="subscript"/>
        <sz val="12"/>
        <color indexed="8"/>
        <rFont val="Calibri"/>
        <family val="2"/>
      </rPr>
      <t>w</t>
    </r>
    <r>
      <rPr>
        <sz val="12"/>
        <color indexed="8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w</t>
    </r>
  </si>
  <si>
    <t>Mescolamento adiabatico e riscaldamento semplice</t>
  </si>
  <si>
    <r>
      <t>V</t>
    </r>
    <r>
      <rPr>
        <vertAlign val="subscript"/>
        <sz val="12"/>
        <color indexed="8"/>
        <rFont val="Calibri"/>
        <family val="2"/>
      </rPr>
      <t>a1</t>
    </r>
  </si>
  <si>
    <r>
      <t>m</t>
    </r>
    <r>
      <rPr>
        <vertAlign val="super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/h</t>
    </r>
  </si>
  <si>
    <r>
      <t>m</t>
    </r>
    <r>
      <rPr>
        <vertAlign val="super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/s</t>
    </r>
  </si>
  <si>
    <r>
      <t>V</t>
    </r>
    <r>
      <rPr>
        <vertAlign val="subscript"/>
        <sz val="12"/>
        <color indexed="8"/>
        <rFont val="Calibri"/>
        <family val="2"/>
      </rPr>
      <t>a2</t>
    </r>
  </si>
  <si>
    <r>
      <t>UR</t>
    </r>
    <r>
      <rPr>
        <vertAlign val="subscript"/>
        <sz val="12"/>
        <color indexed="8"/>
        <rFont val="Calibri"/>
        <family val="2"/>
      </rPr>
      <t>1</t>
    </r>
  </si>
  <si>
    <r>
      <t>UR</t>
    </r>
    <r>
      <rPr>
        <vertAlign val="subscript"/>
        <sz val="12"/>
        <color indexed="8"/>
        <rFont val="Calibri"/>
        <family val="2"/>
      </rPr>
      <t>2</t>
    </r>
  </si>
  <si>
    <r>
      <t>T</t>
    </r>
    <r>
      <rPr>
        <vertAlign val="subscript"/>
        <sz val="12"/>
        <color indexed="8"/>
        <rFont val="Calibri"/>
        <family val="2"/>
      </rPr>
      <t>1</t>
    </r>
  </si>
  <si>
    <r>
      <t>T</t>
    </r>
    <r>
      <rPr>
        <vertAlign val="subscript"/>
        <sz val="12"/>
        <color indexed="8"/>
        <rFont val="Calibri"/>
        <family val="2"/>
      </rPr>
      <t>2</t>
    </r>
  </si>
  <si>
    <r>
      <t>Temperatura di rugiada a valle della batteria di riscaldamento T</t>
    </r>
    <r>
      <rPr>
        <vertAlign val="subscript"/>
        <sz val="12"/>
        <color indexed="8"/>
        <rFont val="Calibri"/>
        <family val="2"/>
      </rPr>
      <t>r</t>
    </r>
  </si>
  <si>
    <t>Potenza di riscaldamento Q</t>
  </si>
  <si>
    <t xml:space="preserve">Dal grafico risulta con buona approssimazione </t>
  </si>
  <si>
    <r>
      <t>h</t>
    </r>
    <r>
      <rPr>
        <vertAlign val="subscript"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=c</t>
    </r>
    <r>
      <rPr>
        <vertAlign val="subscript"/>
        <sz val="12"/>
        <color indexed="8"/>
        <rFont val="Calibri"/>
        <family val="2"/>
      </rPr>
      <t>p,a</t>
    </r>
    <r>
      <rPr>
        <sz val="12"/>
        <color theme="1"/>
        <rFont val="Calibri"/>
        <family val="2"/>
      </rPr>
      <t>T+</t>
    </r>
    <r>
      <rPr>
        <sz val="12"/>
        <color indexed="8"/>
        <rFont val="Symbol"/>
        <family val="1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1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2"/>
      </rPr>
      <t>p,v</t>
    </r>
    <r>
      <rPr>
        <sz val="12"/>
        <color theme="1"/>
        <rFont val="Calibri"/>
        <family val="2"/>
      </rPr>
      <t>T)</t>
    </r>
  </si>
  <si>
    <r>
      <t>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=c</t>
    </r>
    <r>
      <rPr>
        <vertAlign val="subscript"/>
        <sz val="12"/>
        <color indexed="8"/>
        <rFont val="Calibri"/>
        <family val="2"/>
      </rPr>
      <t>p,a</t>
    </r>
    <r>
      <rPr>
        <sz val="12"/>
        <color theme="1"/>
        <rFont val="Calibri"/>
        <family val="2"/>
      </rPr>
      <t>T+</t>
    </r>
    <r>
      <rPr>
        <sz val="12"/>
        <color indexed="8"/>
        <rFont val="Symbol"/>
        <family val="1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1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2"/>
      </rPr>
      <t>p,v</t>
    </r>
    <r>
      <rPr>
        <sz val="12"/>
        <color theme="1"/>
        <rFont val="Calibri"/>
        <family val="2"/>
      </rPr>
      <t>T)</t>
    </r>
  </si>
  <si>
    <t xml:space="preserve">Calcolo le proprietà della corrente d'aria umida risultante in uscita dalla sezione di mescolamento adiabatico, attraverso i bilanci di massa e di energia tra la </t>
  </si>
  <si>
    <t xml:space="preserve">sezione di ingresso e la sezione di uscita </t>
  </si>
  <si>
    <r>
      <t>Essendo la portata m</t>
    </r>
    <r>
      <rPr>
        <vertAlign val="subscript"/>
        <sz val="12"/>
        <color indexed="8"/>
        <rFont val="Calibri"/>
        <family val="2"/>
      </rPr>
      <t>a1</t>
    </r>
    <r>
      <rPr>
        <sz val="12"/>
        <color theme="1"/>
        <rFont val="Calibri"/>
        <family val="2"/>
      </rPr>
      <t xml:space="preserve"> minore di m</t>
    </r>
    <r>
      <rPr>
        <vertAlign val="subscript"/>
        <sz val="12"/>
        <color indexed="8"/>
        <rFont val="Calibri"/>
        <family val="2"/>
      </rPr>
      <t>a2</t>
    </r>
    <r>
      <rPr>
        <sz val="12"/>
        <color theme="1"/>
        <rFont val="Calibri"/>
        <family val="2"/>
      </rPr>
      <t>, il punto 3 rappresentativo della corrente risultante è più vicino al punto 2, rappresentativo della corrente di massa m</t>
    </r>
    <r>
      <rPr>
        <vertAlign val="subscript"/>
        <sz val="12"/>
        <color indexed="8"/>
        <rFont val="Calibri"/>
        <family val="2"/>
      </rPr>
      <t>a1</t>
    </r>
  </si>
  <si>
    <t>RISCALDAMENTO SEMPLICE 3-4</t>
  </si>
  <si>
    <t>La portata ma3 deve essere riscaldata sino a raggiungere la temperatura di 28°C - punto 4</t>
  </si>
  <si>
    <t>Trattandosi di riscaldamento semplice l'umidità specifica si mantiene costante. Imposto i bilanci di massa e di energia:</t>
  </si>
  <si>
    <r>
      <t>m</t>
    </r>
    <r>
      <rPr>
        <vertAlign val="subscript"/>
        <sz val="12"/>
        <color indexed="8"/>
        <rFont val="Calibri"/>
        <family val="2"/>
      </rPr>
      <t>a</t>
    </r>
    <r>
      <rPr>
        <vertAlign val="sub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2"/>
      </rPr>
      <t>a</t>
    </r>
    <r>
      <rPr>
        <vertAlign val="subscript"/>
        <sz val="12"/>
        <color indexed="8"/>
        <rFont val="Calibri"/>
        <family val="2"/>
      </rPr>
      <t>4</t>
    </r>
  </si>
  <si>
    <r>
      <t>m</t>
    </r>
    <r>
      <rPr>
        <vertAlign val="subscript"/>
        <sz val="12"/>
        <color indexed="8"/>
        <rFont val="Calibri"/>
        <family val="2"/>
      </rPr>
      <t>a</t>
    </r>
  </si>
  <si>
    <r>
      <t>m</t>
    </r>
    <r>
      <rPr>
        <vertAlign val="subscript"/>
        <sz val="12"/>
        <color indexed="8"/>
        <rFont val="Calibri"/>
        <family val="2"/>
      </rPr>
      <t>a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2"/>
      </rPr>
      <t>a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4</t>
    </r>
  </si>
  <si>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=</t>
    </r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4</t>
    </r>
  </si>
  <si>
    <r>
      <rPr>
        <sz val="12"/>
        <color indexed="8"/>
        <rFont val="Symbol"/>
        <family val="1"/>
      </rPr>
      <t>w</t>
    </r>
    <r>
      <rPr>
        <vertAlign val="subscript"/>
        <sz val="12"/>
        <color indexed="8"/>
        <rFont val="Calibri"/>
        <family val="2"/>
      </rPr>
      <t>4</t>
    </r>
  </si>
  <si>
    <r>
      <t>m</t>
    </r>
    <r>
      <rPr>
        <vertAlign val="subscript"/>
        <sz val="12"/>
        <color indexed="8"/>
        <rFont val="Calibri"/>
        <family val="2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+Q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2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4</t>
    </r>
  </si>
  <si>
    <r>
      <t>Q=m</t>
    </r>
    <r>
      <rPr>
        <vertAlign val="subscript"/>
        <sz val="12"/>
        <color indexed="8"/>
        <rFont val="Calibri"/>
        <family val="2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2"/>
      </rPr>
      <t>4-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>)</t>
    </r>
  </si>
  <si>
    <r>
      <t>h</t>
    </r>
    <r>
      <rPr>
        <vertAlign val="subscript"/>
        <sz val="12"/>
        <color indexed="8"/>
        <rFont val="Calibri"/>
        <family val="2"/>
      </rPr>
      <t>4</t>
    </r>
  </si>
  <si>
    <r>
      <t>h =c</t>
    </r>
    <r>
      <rPr>
        <vertAlign val="subscript"/>
        <sz val="12"/>
        <color indexed="8"/>
        <rFont val="Calibri"/>
        <family val="2"/>
      </rPr>
      <t>p,a</t>
    </r>
    <r>
      <rPr>
        <sz val="12"/>
        <color theme="1"/>
        <rFont val="Calibri"/>
        <family val="2"/>
      </rPr>
      <t>T+</t>
    </r>
    <r>
      <rPr>
        <sz val="12"/>
        <color indexed="8"/>
        <rFont val="Symbol"/>
        <family val="1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1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2"/>
      </rPr>
      <t>p,v</t>
    </r>
    <r>
      <rPr>
        <sz val="12"/>
        <color theme="1"/>
        <rFont val="Calibri"/>
        <family val="2"/>
      </rPr>
      <t>T)</t>
    </r>
  </si>
  <si>
    <t>Determinare latemperatura di rugiada corrispondente alle condizioni del punto 4 (T=28°C)</t>
  </si>
  <si>
    <t>orizzontale essendo costante l'umidità specifica</t>
  </si>
  <si>
    <t>Esercizio 12</t>
  </si>
  <si>
    <r>
      <t>m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, T</t>
    </r>
    <r>
      <rPr>
        <vertAlign val="subscript"/>
        <sz val="12"/>
        <color indexed="8"/>
        <rFont val="Calibri"/>
        <family val="2"/>
      </rPr>
      <t>3</t>
    </r>
  </si>
  <si>
    <t>fino a raggiungere una umidità relativa dell'70%. Calcolare:</t>
  </si>
  <si>
    <t>1. la potenza termica di riscaldamento</t>
  </si>
  <si>
    <t>2. la portata di acqua necessaria all'umidificazione</t>
  </si>
  <si>
    <t>potenza della batteria di riscaldamento</t>
  </si>
  <si>
    <t>Nel DIAGRAMMA in corrispondenza del punto a T=10°C e UR = 60% leggo il volume specifico</t>
  </si>
  <si>
    <t>Umidificazione isotermica</t>
  </si>
  <si>
    <r>
      <t>h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=c</t>
    </r>
    <r>
      <rPr>
        <vertAlign val="subscript"/>
        <sz val="12"/>
        <color indexed="8"/>
        <rFont val="Calibri"/>
        <family val="2"/>
      </rPr>
      <t>p,a</t>
    </r>
    <r>
      <rPr>
        <sz val="12"/>
        <color theme="1"/>
        <rFont val="Calibri"/>
        <family val="2"/>
      </rPr>
      <t>T+</t>
    </r>
    <r>
      <rPr>
        <sz val="12"/>
        <color indexed="8"/>
        <rFont val="Symbol"/>
        <family val="1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1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2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2"/>
      </rPr>
      <t>p,v</t>
    </r>
    <r>
      <rPr>
        <sz val="12"/>
        <color theme="1"/>
        <rFont val="Calibri"/>
        <family val="2"/>
      </rPr>
      <t>T)</t>
    </r>
  </si>
  <si>
    <t xml:space="preserve">Tracciando la linea isotermica per il punto 2, questa è la linea che rappresenta l'umidificazione con acqua allo stato di vapore (2-3). </t>
  </si>
  <si>
    <t>T=80 °C  liquido</t>
  </si>
  <si>
    <r>
      <t>h3=h</t>
    </r>
    <r>
      <rPr>
        <vertAlign val="subscript"/>
        <sz val="12"/>
        <color indexed="8"/>
        <rFont val="Calibri"/>
        <family val="0"/>
      </rPr>
      <t>2</t>
    </r>
  </si>
  <si>
    <t xml:space="preserve">Tracciando la linea isoentalpica per il punto 2, questa è la linea che rappresenta l'umidificazione con acqua allo stato liquido (2-3). </t>
  </si>
  <si>
    <r>
      <t>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</t>
    </r>
  </si>
  <si>
    <t>La portata ma3 deve essere riscaldata di 10°C</t>
  </si>
  <si>
    <t>46,6</t>
  </si>
  <si>
    <t xml:space="preserve">Una portata di 3500 m3/h alla temperatura di 5°C e umidità relativa del 70% viene riscaldata a umidità specifica costante fino alla temperatura di 18°C e poi umidificata con una portata d'acqua pari 6,4 g/s in condizioni di vapore saturo secco alla temperatura di 110°C </t>
  </si>
  <si>
    <t>Calcolare:</t>
  </si>
  <si>
    <t>2. UR all'uscita dall'umidificatore</t>
  </si>
  <si>
    <t>mw</t>
  </si>
  <si>
    <t>Nel DIAGRAMMA in corrispondenza del punto a T=5°C e UR = 70% leggo il volume specifico</t>
  </si>
  <si>
    <t>Umidificazione isoentalpica</t>
  </si>
  <si>
    <r>
      <t>T3=T</t>
    </r>
    <r>
      <rPr>
        <vertAlign val="subscript"/>
        <sz val="12"/>
        <color indexed="8"/>
        <rFont val="Calibri"/>
        <family val="0"/>
      </rPr>
      <t>2</t>
    </r>
  </si>
  <si>
    <r>
      <t>Il punto 3 si trova sulla linea isotermica passante per il punto 2 (T</t>
    </r>
    <r>
      <rPr>
        <vertAlign val="subscript"/>
        <sz val="12"/>
        <color indexed="8"/>
        <rFont val="Calibri"/>
        <family val="2"/>
      </rPr>
      <t>2</t>
    </r>
    <r>
      <rPr>
        <sz val="12"/>
        <color theme="1"/>
        <rFont val="Calibri"/>
        <family val="2"/>
      </rPr>
      <t>=18°C)</t>
    </r>
  </si>
  <si>
    <r>
      <t>Il punto 3 si trova sulla lineaisoentalpica passante per il punto 2 (h</t>
    </r>
    <r>
      <rPr>
        <vertAlign val="subscript"/>
        <sz val="12"/>
        <color indexed="8"/>
        <rFont val="Calibri"/>
        <family val="2"/>
      </rPr>
      <t>2</t>
    </r>
    <r>
      <rPr>
        <sz val="12"/>
        <color theme="1"/>
        <rFont val="Calibri"/>
        <family val="2"/>
      </rPr>
      <t>=37)</t>
    </r>
  </si>
  <si>
    <t>T=110 °C vapore</t>
  </si>
  <si>
    <r>
      <t>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a3</t>
    </r>
  </si>
  <si>
    <r>
      <t>m</t>
    </r>
    <r>
      <rPr>
        <vertAlign val="subscript"/>
        <sz val="12"/>
        <color indexed="8"/>
        <rFont val="Calibri"/>
        <family val="0"/>
      </rPr>
      <t>a2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= m</t>
    </r>
    <r>
      <rPr>
        <vertAlign val="subscript"/>
        <sz val="12"/>
        <color indexed="8"/>
        <rFont val="Calibri"/>
        <family val="0"/>
      </rPr>
      <t>a3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</si>
  <si>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 (mw+maw2)/ma3</t>
    </r>
  </si>
  <si>
    <t>g/s</t>
  </si>
  <si>
    <t>Dal diagramma leggo UR</t>
  </si>
  <si>
    <t>UR3</t>
  </si>
  <si>
    <r>
      <t>Una portata di 5000 m</t>
    </r>
    <r>
      <rPr>
        <vertAlign val="superscript"/>
        <sz val="12"/>
        <color indexed="8"/>
        <rFont val="Calibri"/>
        <family val="2"/>
      </rPr>
      <t>3</t>
    </r>
    <r>
      <rPr>
        <sz val="12"/>
        <color theme="1"/>
        <rFont val="Calibri"/>
        <family val="2"/>
      </rPr>
      <t xml:space="preserve">/h alla temperatura di 10°C e umidità relativa del 60% viene riscaldata alla temperatura di 25°C e poi umidificata con acqua a 80°C </t>
    </r>
  </si>
  <si>
    <t>Mescolamentoadiabatico conn riscaldamento semplice a valle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</si>
</sst>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0.000000"/>
    <numFmt numFmtId="172" formatCode="0.00000"/>
    <numFmt numFmtId="173" formatCode="[$-410]dddd\ d\ mmmm\ yyyy"/>
    <numFmt numFmtId="174" formatCode="0.00000000"/>
    <numFmt numFmtId="175" formatCode="0.0000000"/>
  </numFmts>
  <fonts count="57">
    <font>
      <sz val="12"/>
      <color theme="1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0"/>
    </font>
    <font>
      <vertAlign val="superscript"/>
      <sz val="12"/>
      <color indexed="8"/>
      <name val="Calibri"/>
      <family val="0"/>
    </font>
    <font>
      <sz val="12"/>
      <color indexed="8"/>
      <name val="Symbol"/>
      <family val="0"/>
    </font>
    <font>
      <i/>
      <vertAlign val="subscript"/>
      <sz val="12"/>
      <color indexed="8"/>
      <name val="Calibri"/>
      <family val="0"/>
    </font>
    <font>
      <sz val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vertAlign val="subscript"/>
      <sz val="12"/>
      <color indexed="8"/>
      <name val="Symbol"/>
      <family val="1"/>
    </font>
    <font>
      <b/>
      <vertAlign val="subscript"/>
      <sz val="12"/>
      <color indexed="8"/>
      <name val="Calibri"/>
      <family val="0"/>
    </font>
    <font>
      <b/>
      <i/>
      <vertAlign val="subscript"/>
      <sz val="12"/>
      <color indexed="8"/>
      <name val="Calibri"/>
      <family val="0"/>
    </font>
    <font>
      <b/>
      <sz val="12"/>
      <color indexed="8"/>
      <name val="Symbol"/>
      <family val="0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0"/>
    </font>
    <font>
      <b/>
      <i/>
      <sz val="12"/>
      <color indexed="8"/>
      <name val="Calibri"/>
      <family val="0"/>
    </font>
    <font>
      <sz val="10"/>
      <color indexed="8"/>
      <name val="TimesNewRomanPSMT-Identity-H"/>
      <family val="0"/>
    </font>
    <font>
      <b/>
      <sz val="11"/>
      <color indexed="8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rgb="FFFF0000"/>
      <name val="Calibri"/>
      <family val="0"/>
    </font>
    <font>
      <sz val="12"/>
      <color theme="1"/>
      <name val="Symbol"/>
      <family val="0"/>
    </font>
    <font>
      <b/>
      <i/>
      <sz val="12"/>
      <color theme="1"/>
      <name val="Calibri"/>
      <family val="0"/>
    </font>
    <font>
      <sz val="12"/>
      <color rgb="FF000000"/>
      <name val="Calibri"/>
      <family val="2"/>
    </font>
    <font>
      <vertAlign val="subscript"/>
      <sz val="12"/>
      <color theme="1"/>
      <name val="Calibri"/>
      <family val="0"/>
    </font>
    <font>
      <sz val="10"/>
      <color theme="1"/>
      <name val="TimesNewRomanPSMT-Identity-H"/>
      <family val="0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1" fillId="0" borderId="0" xfId="0" applyFont="1" applyAlignment="1">
      <alignment/>
    </xf>
    <xf numFmtId="2" fontId="50" fillId="0" borderId="0" xfId="0" applyNumberFormat="1" applyFont="1" applyAlignment="1">
      <alignment/>
    </xf>
    <xf numFmtId="2" fontId="50" fillId="0" borderId="0" xfId="0" applyNumberFormat="1" applyFont="1" applyAlignment="1">
      <alignment horizontal="left"/>
    </xf>
    <xf numFmtId="2" fontId="50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53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2" fontId="5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166" fontId="50" fillId="0" borderId="0" xfId="0" applyNumberFormat="1" applyFont="1" applyAlignment="1">
      <alignment horizontal="center"/>
    </xf>
    <xf numFmtId="165" fontId="50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0" xfId="0" applyFont="1" applyAlignment="1">
      <alignment horizontal="left" vertical="center" indent="4"/>
    </xf>
    <xf numFmtId="0" fontId="52" fillId="0" borderId="0" xfId="0" applyFont="1" applyAlignment="1">
      <alignment/>
    </xf>
    <xf numFmtId="0" fontId="0" fillId="0" borderId="0" xfId="0" applyFont="1" applyAlignment="1">
      <alignment horizontal="left"/>
    </xf>
    <xf numFmtId="0" fontId="55" fillId="0" borderId="0" xfId="0" applyFont="1" applyAlignment="1">
      <alignment/>
    </xf>
    <xf numFmtId="166" fontId="0" fillId="0" borderId="0" xfId="0" applyNumberFormat="1" applyAlignment="1">
      <alignment/>
    </xf>
    <xf numFmtId="164" fontId="50" fillId="0" borderId="0" xfId="0" applyNumberFormat="1" applyFont="1" applyAlignment="1">
      <alignment/>
    </xf>
    <xf numFmtId="9" fontId="0" fillId="0" borderId="0" xfId="0" applyNumberFormat="1" applyAlignment="1">
      <alignment horizontal="left"/>
    </xf>
    <xf numFmtId="0" fontId="53" fillId="0" borderId="0" xfId="0" applyFont="1" applyAlignment="1">
      <alignment horizontal="right"/>
    </xf>
    <xf numFmtId="9" fontId="0" fillId="0" borderId="0" xfId="49" applyFont="1" applyAlignment="1">
      <alignment/>
    </xf>
    <xf numFmtId="0" fontId="50" fillId="0" borderId="0" xfId="0" applyFont="1" applyAlignment="1">
      <alignment horizontal="left"/>
    </xf>
    <xf numFmtId="2" fontId="50" fillId="0" borderId="0" xfId="0" applyNumberFormat="1" applyFont="1" applyAlignment="1">
      <alignment horizontal="left"/>
    </xf>
    <xf numFmtId="0" fontId="50" fillId="0" borderId="0" xfId="0" applyFont="1" applyAlignment="1">
      <alignment horizontal="center"/>
    </xf>
    <xf numFmtId="0" fontId="5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Alignment="1">
      <alignment/>
    </xf>
    <xf numFmtId="0" fontId="51" fillId="0" borderId="0" xfId="0" applyFont="1" applyAlignment="1">
      <alignment/>
    </xf>
    <xf numFmtId="0" fontId="47" fillId="0" borderId="0" xfId="46" applyFont="1">
      <alignment/>
      <protection/>
    </xf>
    <xf numFmtId="0" fontId="0" fillId="0" borderId="0" xfId="46">
      <alignment/>
      <protection/>
    </xf>
    <xf numFmtId="2" fontId="0" fillId="0" borderId="0" xfId="46" applyNumberFormat="1">
      <alignment/>
      <protection/>
    </xf>
    <xf numFmtId="9" fontId="0" fillId="0" borderId="0" xfId="46" applyNumberFormat="1">
      <alignment/>
      <protection/>
    </xf>
    <xf numFmtId="9" fontId="0" fillId="0" borderId="0" xfId="49" applyFont="1" applyAlignment="1">
      <alignment/>
    </xf>
    <xf numFmtId="0" fontId="0" fillId="0" borderId="0" xfId="46" applyAlignment="1">
      <alignment horizontal="right"/>
      <protection/>
    </xf>
    <xf numFmtId="0" fontId="0" fillId="0" borderId="0" xfId="46" applyFont="1">
      <alignment/>
      <protection/>
    </xf>
    <xf numFmtId="0" fontId="0" fillId="0" borderId="0" xfId="46" applyAlignment="1">
      <alignment horizontal="left"/>
      <protection/>
    </xf>
    <xf numFmtId="2" fontId="50" fillId="0" borderId="0" xfId="46" applyNumberFormat="1" applyFont="1" applyAlignment="1">
      <alignment horizontal="left"/>
      <protection/>
    </xf>
    <xf numFmtId="0" fontId="50" fillId="0" borderId="0" xfId="46" applyFont="1" applyAlignment="1">
      <alignment horizontal="left"/>
      <protection/>
    </xf>
    <xf numFmtId="0" fontId="0" fillId="0" borderId="0" xfId="46" applyBorder="1">
      <alignment/>
      <protection/>
    </xf>
    <xf numFmtId="2" fontId="0" fillId="0" borderId="0" xfId="46" applyNumberFormat="1" applyBorder="1">
      <alignment/>
      <protection/>
    </xf>
    <xf numFmtId="2" fontId="50" fillId="0" borderId="0" xfId="46" applyNumberFormat="1" applyFont="1" applyAlignment="1">
      <alignment horizontal="center"/>
      <protection/>
    </xf>
    <xf numFmtId="1" fontId="50" fillId="0" borderId="0" xfId="46" applyNumberFormat="1" applyFont="1" applyAlignment="1">
      <alignment horizontal="center"/>
      <protection/>
    </xf>
    <xf numFmtId="0" fontId="0" fillId="0" borderId="10" xfId="46" applyBorder="1">
      <alignment/>
      <protection/>
    </xf>
    <xf numFmtId="0" fontId="0" fillId="0" borderId="11" xfId="46" applyBorder="1">
      <alignment/>
      <protection/>
    </xf>
    <xf numFmtId="0" fontId="0" fillId="0" borderId="12" xfId="46" applyBorder="1">
      <alignment/>
      <protection/>
    </xf>
    <xf numFmtId="0" fontId="0" fillId="0" borderId="13" xfId="46" applyBorder="1">
      <alignment/>
      <protection/>
    </xf>
    <xf numFmtId="0" fontId="0" fillId="0" borderId="14" xfId="46" applyBorder="1">
      <alignment/>
      <protection/>
    </xf>
    <xf numFmtId="0" fontId="0" fillId="0" borderId="15" xfId="46" applyBorder="1">
      <alignment/>
      <protection/>
    </xf>
    <xf numFmtId="0" fontId="0" fillId="0" borderId="0" xfId="46" applyFont="1">
      <alignment/>
      <protection/>
    </xf>
    <xf numFmtId="0" fontId="0" fillId="33" borderId="0" xfId="0" applyFill="1" applyAlignment="1">
      <alignment/>
    </xf>
    <xf numFmtId="16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right"/>
    </xf>
    <xf numFmtId="2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51" fillId="33" borderId="0" xfId="0" applyFont="1" applyFill="1" applyAlignment="1">
      <alignment/>
    </xf>
    <xf numFmtId="0" fontId="0" fillId="0" borderId="0" xfId="46" applyFont="1" applyBorder="1">
      <alignment/>
      <protection/>
    </xf>
    <xf numFmtId="0" fontId="0" fillId="0" borderId="0" xfId="46" applyFill="1">
      <alignment/>
      <protection/>
    </xf>
    <xf numFmtId="0" fontId="0" fillId="0" borderId="0" xfId="46" applyFont="1">
      <alignment/>
      <protection/>
    </xf>
    <xf numFmtId="164" fontId="50" fillId="0" borderId="0" xfId="0" applyNumberFormat="1" applyFont="1" applyAlignment="1">
      <alignment horizontal="left"/>
    </xf>
    <xf numFmtId="9" fontId="0" fillId="33" borderId="0" xfId="0" applyNumberFormat="1" applyFill="1" applyAlignment="1">
      <alignment/>
    </xf>
    <xf numFmtId="165" fontId="50" fillId="0" borderId="0" xfId="46" applyNumberFormat="1" applyFont="1" applyAlignment="1">
      <alignment horizontal="center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3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57150</xdr:rowOff>
    </xdr:from>
    <xdr:to>
      <xdr:col>6</xdr:col>
      <xdr:colOff>457200</xdr:colOff>
      <xdr:row>5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6248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0</xdr:rowOff>
    </xdr:from>
    <xdr:to>
      <xdr:col>5</xdr:col>
      <xdr:colOff>57150</xdr:colOff>
      <xdr:row>7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00050"/>
          <a:ext cx="6248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7</xdr:col>
      <xdr:colOff>723900</xdr:colOff>
      <xdr:row>5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6248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9</xdr:col>
      <xdr:colOff>504825</xdr:colOff>
      <xdr:row>7</xdr:row>
      <xdr:rowOff>19050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"/>
          <a:ext cx="6677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6</xdr:col>
      <xdr:colOff>723900</xdr:colOff>
      <xdr:row>6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6448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5</xdr:col>
      <xdr:colOff>1000125</xdr:colOff>
      <xdr:row>7</xdr:row>
      <xdr:rowOff>66675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8600"/>
          <a:ext cx="6248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5</xdr:col>
      <xdr:colOff>381000</xdr:colOff>
      <xdr:row>8</xdr:row>
      <xdr:rowOff>19050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63341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971550</xdr:colOff>
      <xdr:row>6</xdr:row>
      <xdr:rowOff>190500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6248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971550</xdr:colOff>
      <xdr:row>8</xdr:row>
      <xdr:rowOff>180975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62484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200025</xdr:rowOff>
    </xdr:from>
    <xdr:to>
      <xdr:col>4</xdr:col>
      <xdr:colOff>133350</xdr:colOff>
      <xdr:row>7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6381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257175</xdr:colOff>
      <xdr:row>7</xdr:row>
      <xdr:rowOff>19050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6419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28575</xdr:rowOff>
    </xdr:from>
    <xdr:to>
      <xdr:col>5</xdr:col>
      <xdr:colOff>314325</xdr:colOff>
      <xdr:row>7</xdr:row>
      <xdr:rowOff>180975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28625"/>
          <a:ext cx="6353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438150</xdr:colOff>
      <xdr:row>8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65341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PageLayoutView="0" workbookViewId="0" topLeftCell="A64">
      <selection activeCell="A81" sqref="A81"/>
    </sheetView>
  </sheetViews>
  <sheetFormatPr defaultColWidth="11.00390625" defaultRowHeight="15.75"/>
  <cols>
    <col min="1" max="1" width="13.375" style="0" customWidth="1"/>
    <col min="2" max="2" width="12.00390625" style="0" customWidth="1"/>
    <col min="3" max="3" width="11.00390625" style="0" customWidth="1"/>
    <col min="4" max="4" width="12.625" style="0" customWidth="1"/>
    <col min="5" max="5" width="16.00390625" style="0" customWidth="1"/>
    <col min="6" max="6" width="11.00390625" style="0" customWidth="1"/>
    <col min="7" max="7" width="11.875" style="0" customWidth="1"/>
    <col min="8" max="8" width="13.875" style="0" customWidth="1"/>
  </cols>
  <sheetData>
    <row r="1" spans="1:4" ht="15.75">
      <c r="A1" s="37" t="s">
        <v>3</v>
      </c>
      <c r="B1" s="37"/>
      <c r="C1" s="37"/>
      <c r="D1" s="37"/>
    </row>
    <row r="2" spans="1:4" ht="15.75">
      <c r="A2" s="37" t="s">
        <v>4</v>
      </c>
      <c r="B2" s="37"/>
      <c r="C2" s="37"/>
      <c r="D2" s="37"/>
    </row>
    <row r="3" spans="1:4" ht="15.75">
      <c r="A3" s="37"/>
      <c r="B3" s="37"/>
      <c r="C3" s="37"/>
      <c r="D3" s="37"/>
    </row>
    <row r="4" spans="1:4" ht="15.75">
      <c r="A4" s="37"/>
      <c r="B4" s="37"/>
      <c r="C4" s="37"/>
      <c r="D4" s="37"/>
    </row>
    <row r="5" spans="1:4" ht="15.75">
      <c r="A5" s="37"/>
      <c r="B5" s="37"/>
      <c r="C5" s="37"/>
      <c r="D5" s="37"/>
    </row>
    <row r="6" spans="1:4" ht="15.75">
      <c r="A6" s="37"/>
      <c r="B6" s="37"/>
      <c r="C6" s="37"/>
      <c r="D6" s="37"/>
    </row>
    <row r="7" spans="1:4" ht="15.75">
      <c r="A7" s="37"/>
      <c r="B7" s="37"/>
      <c r="C7" s="37"/>
      <c r="D7" s="37"/>
    </row>
    <row r="9" spans="1:6" ht="15.75">
      <c r="A9" s="37" t="s">
        <v>5</v>
      </c>
      <c r="F9" s="37" t="s">
        <v>8</v>
      </c>
    </row>
    <row r="10" spans="1:10" ht="19.5">
      <c r="A10" t="s">
        <v>36</v>
      </c>
      <c r="B10">
        <v>4000</v>
      </c>
      <c r="C10" t="s">
        <v>34</v>
      </c>
      <c r="D10" s="8">
        <f>B10/3600</f>
        <v>1.1111111111111112</v>
      </c>
      <c r="E10" t="s">
        <v>76</v>
      </c>
      <c r="F10" t="s">
        <v>37</v>
      </c>
      <c r="G10">
        <v>1500</v>
      </c>
      <c r="H10" t="s">
        <v>34</v>
      </c>
      <c r="I10" s="8">
        <f>G10/3600</f>
        <v>0.4166666666666667</v>
      </c>
      <c r="J10" t="s">
        <v>76</v>
      </c>
    </row>
    <row r="11" spans="1:7" ht="18.75">
      <c r="A11" t="s">
        <v>6</v>
      </c>
      <c r="B11" s="1">
        <v>0.8</v>
      </c>
      <c r="F11" t="s">
        <v>9</v>
      </c>
      <c r="G11">
        <v>40</v>
      </c>
    </row>
    <row r="12" spans="1:8" ht="18.75">
      <c r="A12" t="s">
        <v>7</v>
      </c>
      <c r="B12" s="3">
        <v>15</v>
      </c>
      <c r="C12" t="s">
        <v>92</v>
      </c>
      <c r="F12" t="s">
        <v>10</v>
      </c>
      <c r="G12">
        <v>35</v>
      </c>
      <c r="H12" t="s">
        <v>92</v>
      </c>
    </row>
    <row r="13" spans="1:7" ht="18.75">
      <c r="A13" t="s">
        <v>11</v>
      </c>
      <c r="B13" t="s">
        <v>14</v>
      </c>
      <c r="F13" t="s">
        <v>12</v>
      </c>
      <c r="G13" t="s">
        <v>14</v>
      </c>
    </row>
    <row r="15" ht="15.75">
      <c r="A15" s="37" t="s">
        <v>86</v>
      </c>
    </row>
    <row r="16" spans="1:3" ht="18.75">
      <c r="A16" s="4" t="s">
        <v>249</v>
      </c>
      <c r="C16" t="s">
        <v>320</v>
      </c>
    </row>
    <row r="17" ht="18.75">
      <c r="A17" s="4" t="s">
        <v>251</v>
      </c>
    </row>
    <row r="18" ht="15.75">
      <c r="A18" s="4" t="s">
        <v>250</v>
      </c>
    </row>
    <row r="19" spans="8:10" ht="15.75">
      <c r="H19" s="8">
        <f>D10/B21</f>
        <v>1.3419216317767044</v>
      </c>
      <c r="I19">
        <f>B10/(3600*B21)</f>
        <v>1.3419216317767044</v>
      </c>
      <c r="J19">
        <f>B10/3600/B21</f>
        <v>1.3419216317767044</v>
      </c>
    </row>
    <row r="20" ht="15.75">
      <c r="A20" t="s">
        <v>17</v>
      </c>
    </row>
    <row r="21" spans="1:11" ht="19.5">
      <c r="A21" t="s">
        <v>11</v>
      </c>
      <c r="B21">
        <f>0.82+(15-13)/(18-13)*(0.84-0.82)</f>
        <v>0.828</v>
      </c>
      <c r="C21" t="s">
        <v>16</v>
      </c>
      <c r="D21" s="5" t="s">
        <v>35</v>
      </c>
      <c r="F21" s="3" t="s">
        <v>38</v>
      </c>
      <c r="G21" t="s">
        <v>39</v>
      </c>
      <c r="H21">
        <f>B10/3600/B21</f>
        <v>1.3419216317767044</v>
      </c>
      <c r="I21" t="s">
        <v>15</v>
      </c>
      <c r="J21" s="6">
        <v>1.34</v>
      </c>
      <c r="K21" t="s">
        <v>15</v>
      </c>
    </row>
    <row r="22" ht="15.75">
      <c r="J22" s="5"/>
    </row>
    <row r="23" spans="1:10" ht="15.75">
      <c r="A23" t="s">
        <v>42</v>
      </c>
      <c r="J23" s="5"/>
    </row>
    <row r="24" spans="1:12" ht="19.5">
      <c r="A24" t="s">
        <v>12</v>
      </c>
      <c r="B24">
        <v>0.893</v>
      </c>
      <c r="C24" t="s">
        <v>16</v>
      </c>
      <c r="D24" s="5" t="s">
        <v>35</v>
      </c>
      <c r="F24" s="3" t="s">
        <v>41</v>
      </c>
      <c r="G24" t="s">
        <v>40</v>
      </c>
      <c r="H24">
        <f>G10/3600/B24</f>
        <v>0.4665920119447555</v>
      </c>
      <c r="I24" t="s">
        <v>15</v>
      </c>
      <c r="J24" s="6">
        <v>0.47</v>
      </c>
      <c r="K24" t="s">
        <v>15</v>
      </c>
      <c r="L24" s="8">
        <f>G10/3600/B24</f>
        <v>0.4665920119447555</v>
      </c>
    </row>
    <row r="26" spans="1:3" ht="18.75">
      <c r="A26" s="3" t="s">
        <v>38</v>
      </c>
      <c r="B26" s="6">
        <v>1.34</v>
      </c>
      <c r="C26" t="s">
        <v>15</v>
      </c>
    </row>
    <row r="27" spans="1:3" ht="18.75">
      <c r="A27" s="3" t="s">
        <v>41</v>
      </c>
      <c r="B27" s="6">
        <v>0.47</v>
      </c>
      <c r="C27" t="s">
        <v>15</v>
      </c>
    </row>
    <row r="29" ht="15.75">
      <c r="A29" t="s">
        <v>44</v>
      </c>
    </row>
    <row r="30" spans="1:3" ht="18.75">
      <c r="A30" t="s">
        <v>18</v>
      </c>
      <c r="B30">
        <v>8.5</v>
      </c>
      <c r="C30" t="s">
        <v>23</v>
      </c>
    </row>
    <row r="31" spans="1:3" ht="18.75">
      <c r="A31" t="s">
        <v>19</v>
      </c>
      <c r="B31">
        <v>14.2</v>
      </c>
      <c r="C31" t="s">
        <v>23</v>
      </c>
    </row>
    <row r="32" spans="1:6" ht="15.75">
      <c r="A32" t="s">
        <v>45</v>
      </c>
      <c r="F32" s="5"/>
    </row>
    <row r="33" spans="1:3" ht="18.75">
      <c r="A33" t="s">
        <v>21</v>
      </c>
      <c r="B33">
        <v>36.9</v>
      </c>
      <c r="C33" t="s">
        <v>24</v>
      </c>
    </row>
    <row r="34" spans="1:3" ht="18.75">
      <c r="A34" t="s">
        <v>22</v>
      </c>
      <c r="B34">
        <v>72</v>
      </c>
      <c r="C34" t="s">
        <v>24</v>
      </c>
    </row>
    <row r="36" ht="15.75">
      <c r="A36" t="s">
        <v>311</v>
      </c>
    </row>
    <row r="37" ht="15.75">
      <c r="A37" t="s">
        <v>29</v>
      </c>
    </row>
    <row r="39" spans="1:11" ht="18.75">
      <c r="A39" t="s">
        <v>25</v>
      </c>
      <c r="D39" t="s">
        <v>28</v>
      </c>
      <c r="G39" t="s">
        <v>43</v>
      </c>
      <c r="I39">
        <f>J21+J24</f>
        <v>1.81</v>
      </c>
      <c r="J39" t="s">
        <v>15</v>
      </c>
      <c r="K39">
        <f>J21+J24</f>
        <v>1.81</v>
      </c>
    </row>
    <row r="40" spans="1:13" ht="18.75">
      <c r="A40" s="4" t="s">
        <v>27</v>
      </c>
      <c r="D40" t="s">
        <v>30</v>
      </c>
      <c r="G40" t="s">
        <v>32</v>
      </c>
      <c r="I40" s="8">
        <f>(J21*B30+J24*B31)/I39</f>
        <v>9.980110497237568</v>
      </c>
      <c r="J40" t="s">
        <v>23</v>
      </c>
      <c r="K40" s="9">
        <v>10</v>
      </c>
      <c r="L40" t="s">
        <v>23</v>
      </c>
      <c r="M40" s="21">
        <f>(J21*B30+J24*B31)/K39</f>
        <v>9.980110497237568</v>
      </c>
    </row>
    <row r="41" spans="1:13" ht="18.75">
      <c r="A41" t="s">
        <v>26</v>
      </c>
      <c r="D41" t="s">
        <v>31</v>
      </c>
      <c r="G41" s="4" t="s">
        <v>33</v>
      </c>
      <c r="I41" s="8">
        <f>(B26*B33+B27*B34)/I39</f>
        <v>46.014364640883976</v>
      </c>
      <c r="J41" t="s">
        <v>24</v>
      </c>
      <c r="K41" s="9">
        <v>46</v>
      </c>
      <c r="L41" t="s">
        <v>24</v>
      </c>
      <c r="M41" s="54">
        <f>(B33*J21+B34*J24)/K39</f>
        <v>46.014364640883976</v>
      </c>
    </row>
    <row r="44" ht="18.75">
      <c r="A44" t="s">
        <v>46</v>
      </c>
    </row>
    <row r="45" spans="1:2" ht="18.75">
      <c r="A45" t="s">
        <v>77</v>
      </c>
      <c r="B45" t="s">
        <v>78</v>
      </c>
    </row>
    <row r="47" ht="15.75">
      <c r="A47" t="s">
        <v>310</v>
      </c>
    </row>
    <row r="48" ht="15.75">
      <c r="A48" t="s">
        <v>48</v>
      </c>
    </row>
    <row r="49" ht="15.75">
      <c r="A49" t="s">
        <v>49</v>
      </c>
    </row>
    <row r="51" ht="15.75">
      <c r="A51" t="s">
        <v>50</v>
      </c>
    </row>
    <row r="53" spans="1:8" ht="18.75">
      <c r="A53" t="s">
        <v>54</v>
      </c>
      <c r="B53" t="s">
        <v>56</v>
      </c>
      <c r="D53" t="s">
        <v>55</v>
      </c>
      <c r="E53" t="s">
        <v>64</v>
      </c>
      <c r="F53" s="3" t="s">
        <v>55</v>
      </c>
      <c r="G53">
        <f>I39</f>
        <v>1.81</v>
      </c>
      <c r="H53" t="s">
        <v>15</v>
      </c>
    </row>
    <row r="55" spans="1:8" ht="18.75">
      <c r="A55" t="s">
        <v>51</v>
      </c>
      <c r="B55" s="3" t="s">
        <v>52</v>
      </c>
      <c r="C55" t="s">
        <v>53</v>
      </c>
      <c r="F55" s="3" t="s">
        <v>65</v>
      </c>
      <c r="G55">
        <f>K40</f>
        <v>10</v>
      </c>
      <c r="H55" t="s">
        <v>23</v>
      </c>
    </row>
    <row r="57" spans="1:3" ht="18.75">
      <c r="A57" t="s">
        <v>323</v>
      </c>
      <c r="B57" s="3" t="s">
        <v>52</v>
      </c>
      <c r="C57" t="s">
        <v>57</v>
      </c>
    </row>
    <row r="59" ht="15.75">
      <c r="A59" t="s">
        <v>58</v>
      </c>
    </row>
    <row r="60" spans="4:10" ht="15.75">
      <c r="D60" s="10" t="s">
        <v>60</v>
      </c>
      <c r="E60" s="11"/>
      <c r="F60" s="11"/>
      <c r="G60" s="11"/>
      <c r="H60" s="11"/>
      <c r="I60" s="11"/>
      <c r="J60" s="12"/>
    </row>
    <row r="61" spans="1:10" ht="18.75">
      <c r="A61" t="s">
        <v>59</v>
      </c>
      <c r="B61">
        <v>39.5</v>
      </c>
      <c r="C61" t="s">
        <v>24</v>
      </c>
      <c r="D61" s="13" t="s">
        <v>61</v>
      </c>
      <c r="E61" s="14"/>
      <c r="F61" s="14">
        <f>1.01*14+0.01*(2500+1.805*14)</f>
        <v>39.392700000000005</v>
      </c>
      <c r="G61" s="14" t="s">
        <v>24</v>
      </c>
      <c r="H61" s="14" t="s">
        <v>62</v>
      </c>
      <c r="I61" s="14"/>
      <c r="J61" s="15"/>
    </row>
    <row r="63" ht="15.75">
      <c r="A63" t="s">
        <v>63</v>
      </c>
    </row>
    <row r="65" spans="1:4" ht="18.75">
      <c r="A65" t="s">
        <v>57</v>
      </c>
      <c r="B65" s="8">
        <f>G53*(K41-B61)</f>
        <v>11.765</v>
      </c>
      <c r="C65" t="s">
        <v>66</v>
      </c>
      <c r="D65">
        <f>G53*(K41-B61)</f>
        <v>11.765</v>
      </c>
    </row>
    <row r="67" ht="15.75">
      <c r="A67" t="s">
        <v>67</v>
      </c>
    </row>
    <row r="68" ht="15.75">
      <c r="A68" t="s">
        <v>68</v>
      </c>
    </row>
    <row r="69" spans="1:2" ht="15.75">
      <c r="A69" t="s">
        <v>69</v>
      </c>
      <c r="B69">
        <v>14</v>
      </c>
    </row>
    <row r="71" ht="15.75">
      <c r="A71" t="s">
        <v>70</v>
      </c>
    </row>
    <row r="72" ht="15.75">
      <c r="A72" t="s">
        <v>71</v>
      </c>
    </row>
    <row r="73" spans="1:3" ht="18.75">
      <c r="A73" t="s">
        <v>73</v>
      </c>
      <c r="B73">
        <v>0.826</v>
      </c>
      <c r="C73" t="s">
        <v>13</v>
      </c>
    </row>
    <row r="75" ht="15.75">
      <c r="A75" t="s">
        <v>72</v>
      </c>
    </row>
    <row r="76" spans="1:3" ht="18.75">
      <c r="A76" t="s">
        <v>73</v>
      </c>
      <c r="B76">
        <f>0.82+(14-12.3)/(15-12.3)*(0.83-0.82)</f>
        <v>0.8262962962962963</v>
      </c>
      <c r="C76" t="s">
        <v>13</v>
      </c>
    </row>
    <row r="79" ht="15.75">
      <c r="A79" t="s">
        <v>74</v>
      </c>
    </row>
    <row r="81" spans="1:5" ht="19.5">
      <c r="A81" t="s">
        <v>252</v>
      </c>
      <c r="B81">
        <f>B73*G53</f>
        <v>1.49506</v>
      </c>
      <c r="C81" t="s">
        <v>76</v>
      </c>
      <c r="D81">
        <f>B81*3600</f>
        <v>5382.216</v>
      </c>
      <c r="E81" t="s">
        <v>34</v>
      </c>
    </row>
    <row r="83" ht="15.75">
      <c r="A83" t="s">
        <v>75</v>
      </c>
    </row>
    <row r="84" spans="1:5" ht="19.5">
      <c r="A84" t="s">
        <v>253</v>
      </c>
      <c r="B84">
        <f>I39*0.849</f>
        <v>1.5366900000000001</v>
      </c>
      <c r="C84" t="s">
        <v>76</v>
      </c>
      <c r="D84">
        <f>B84*3600</f>
        <v>5532.084000000001</v>
      </c>
      <c r="E84" t="s">
        <v>34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="110" zoomScaleNormal="110" zoomScalePageLayoutView="0" workbookViewId="0" topLeftCell="A3">
      <selection activeCell="A3" sqref="A3"/>
    </sheetView>
  </sheetViews>
  <sheetFormatPr defaultColWidth="11.00390625" defaultRowHeight="15.75"/>
  <cols>
    <col min="1" max="1" width="18.50390625" style="0" customWidth="1"/>
    <col min="2" max="2" width="14.50390625" style="0" customWidth="1"/>
    <col min="3" max="3" width="20.375" style="0" customWidth="1"/>
    <col min="4" max="4" width="12.375" style="0" customWidth="1"/>
    <col min="5" max="5" width="16.00390625" style="0" customWidth="1"/>
    <col min="6" max="6" width="11.00390625" style="0" customWidth="1"/>
    <col min="7" max="7" width="11.875" style="0" customWidth="1"/>
    <col min="8" max="8" width="13.875" style="0" customWidth="1"/>
  </cols>
  <sheetData>
    <row r="1" ht="15.75">
      <c r="A1" s="37" t="s">
        <v>307</v>
      </c>
    </row>
    <row r="2" ht="15.75">
      <c r="A2" s="37" t="s">
        <v>131</v>
      </c>
    </row>
    <row r="3" ht="15.75">
      <c r="A3" s="37"/>
    </row>
    <row r="4" ht="15.75">
      <c r="A4" s="37"/>
    </row>
    <row r="5" ht="15.75">
      <c r="A5" s="37"/>
    </row>
    <row r="6" ht="15.75">
      <c r="A6" s="37"/>
    </row>
    <row r="7" ht="15.75">
      <c r="A7" s="37"/>
    </row>
    <row r="8" ht="15.75">
      <c r="A8" s="37"/>
    </row>
    <row r="10" ht="15.75">
      <c r="A10" t="s">
        <v>5</v>
      </c>
    </row>
    <row r="11" spans="1:9" ht="19.5">
      <c r="A11" t="s">
        <v>36</v>
      </c>
      <c r="B11">
        <v>8000</v>
      </c>
      <c r="C11" t="s">
        <v>34</v>
      </c>
      <c r="D11" s="8">
        <f>B11/3600</f>
        <v>2.2222222222222223</v>
      </c>
      <c r="E11" t="s">
        <v>76</v>
      </c>
      <c r="I11" s="8"/>
    </row>
    <row r="12" spans="1:7" ht="18.75">
      <c r="A12" t="s">
        <v>6</v>
      </c>
      <c r="B12" s="1">
        <v>0.7</v>
      </c>
      <c r="G12" s="1"/>
    </row>
    <row r="13" spans="1:2" ht="18.75">
      <c r="A13" t="s">
        <v>7</v>
      </c>
      <c r="B13" s="3" t="s">
        <v>114</v>
      </c>
    </row>
    <row r="14" spans="1:2" ht="18.75">
      <c r="A14" t="s">
        <v>11</v>
      </c>
      <c r="B14" t="s">
        <v>14</v>
      </c>
    </row>
    <row r="16" ht="15.75">
      <c r="A16" t="s">
        <v>246</v>
      </c>
    </row>
    <row r="17" spans="1:4" ht="15.75">
      <c r="A17" t="s">
        <v>227</v>
      </c>
      <c r="B17" t="s">
        <v>228</v>
      </c>
      <c r="C17">
        <f>6.4/1000</f>
        <v>0.0064</v>
      </c>
      <c r="D17" t="s">
        <v>15</v>
      </c>
    </row>
    <row r="19" ht="15.75">
      <c r="A19" t="s">
        <v>115</v>
      </c>
    </row>
    <row r="20" spans="1:10" ht="19.5">
      <c r="A20" t="s">
        <v>11</v>
      </c>
      <c r="B20">
        <f>0.791</f>
        <v>0.791</v>
      </c>
      <c r="C20" t="s">
        <v>16</v>
      </c>
      <c r="D20" s="5" t="s">
        <v>35</v>
      </c>
      <c r="F20" s="3" t="s">
        <v>38</v>
      </c>
      <c r="G20" t="s">
        <v>39</v>
      </c>
      <c r="H20" s="8">
        <f>B11/3600/B20</f>
        <v>2.8093833403567916</v>
      </c>
      <c r="I20" t="s">
        <v>15</v>
      </c>
      <c r="J20" t="s">
        <v>15</v>
      </c>
    </row>
    <row r="22" spans="1:4" ht="18.75">
      <c r="A22" s="3" t="s">
        <v>38</v>
      </c>
      <c r="B22" s="18">
        <f>H20</f>
        <v>2.8093833403567916</v>
      </c>
      <c r="C22" t="s">
        <v>15</v>
      </c>
      <c r="D22" s="31"/>
    </row>
    <row r="24" ht="15.75">
      <c r="A24" t="s">
        <v>223</v>
      </c>
    </row>
    <row r="25" spans="1:3" ht="18.75">
      <c r="A25" t="s">
        <v>18</v>
      </c>
      <c r="B25">
        <v>3.7</v>
      </c>
      <c r="C25" t="s">
        <v>235</v>
      </c>
    </row>
    <row r="26" spans="1:6" ht="15.75">
      <c r="A26" t="s">
        <v>224</v>
      </c>
      <c r="F26" s="5"/>
    </row>
    <row r="27" spans="1:11" ht="18.75">
      <c r="A27" t="s">
        <v>21</v>
      </c>
      <c r="B27">
        <v>14.5</v>
      </c>
      <c r="C27" t="s">
        <v>24</v>
      </c>
      <c r="E27" s="10" t="s">
        <v>60</v>
      </c>
      <c r="F27" s="11"/>
      <c r="G27" s="11"/>
      <c r="H27" s="11"/>
      <c r="I27" s="11"/>
      <c r="J27" s="11"/>
      <c r="K27" s="12"/>
    </row>
    <row r="28" spans="5:11" ht="18.75">
      <c r="E28" s="13" t="s">
        <v>210</v>
      </c>
      <c r="F28" s="14"/>
      <c r="G28" s="14">
        <f>1.01*5+B25/1000*(2500+1.805*5)</f>
        <v>14.333392500000002</v>
      </c>
      <c r="H28" s="14" t="s">
        <v>24</v>
      </c>
      <c r="I28" s="14" t="s">
        <v>62</v>
      </c>
      <c r="J28" s="14"/>
      <c r="K28" s="15"/>
    </row>
    <row r="30" spans="1:3" ht="15.75">
      <c r="A30" t="s">
        <v>131</v>
      </c>
      <c r="C30" s="27"/>
    </row>
    <row r="31" ht="15.75">
      <c r="I31" s="5"/>
    </row>
    <row r="32" spans="1:9" ht="18.75">
      <c r="A32" s="23" t="s">
        <v>163</v>
      </c>
      <c r="B32" t="s">
        <v>164</v>
      </c>
      <c r="D32" t="s">
        <v>167</v>
      </c>
      <c r="E32" s="8">
        <f>B25</f>
        <v>3.7</v>
      </c>
      <c r="F32" t="s">
        <v>235</v>
      </c>
      <c r="I32" s="5"/>
    </row>
    <row r="33" spans="1:9" ht="15.75">
      <c r="A33" s="23"/>
      <c r="B33" t="s">
        <v>226</v>
      </c>
      <c r="E33" s="8"/>
      <c r="I33" s="5"/>
    </row>
    <row r="34" spans="1:9" ht="15.75">
      <c r="A34" s="23"/>
      <c r="B34" t="s">
        <v>245</v>
      </c>
      <c r="E34" s="8"/>
      <c r="I34" s="5"/>
    </row>
    <row r="35" spans="1:13" ht="18.75">
      <c r="A35" s="23"/>
      <c r="C35" t="s">
        <v>122</v>
      </c>
      <c r="D35" s="4" t="s">
        <v>22</v>
      </c>
      <c r="E35" s="28">
        <v>30</v>
      </c>
      <c r="F35" t="s">
        <v>24</v>
      </c>
      <c r="G35" s="10" t="s">
        <v>60</v>
      </c>
      <c r="H35" s="11"/>
      <c r="I35" s="38"/>
      <c r="J35" s="11"/>
      <c r="K35" s="11"/>
      <c r="L35" s="11"/>
      <c r="M35" s="12"/>
    </row>
    <row r="36" spans="7:13" ht="18.75">
      <c r="G36" s="13" t="s">
        <v>230</v>
      </c>
      <c r="H36" s="14"/>
      <c r="I36" s="14">
        <f>1.01*20+E32/1000*(2500+1.805*20)</f>
        <v>29.58357</v>
      </c>
      <c r="J36" s="14" t="s">
        <v>24</v>
      </c>
      <c r="K36" s="14" t="s">
        <v>62</v>
      </c>
      <c r="L36" s="14"/>
      <c r="M36" s="15"/>
    </row>
    <row r="37" spans="1:6" ht="16.5" customHeight="1">
      <c r="A37" s="23" t="s">
        <v>165</v>
      </c>
      <c r="B37" t="s">
        <v>316</v>
      </c>
      <c r="D37" s="4" t="s">
        <v>225</v>
      </c>
      <c r="E37" s="8">
        <v>22</v>
      </c>
      <c r="F37" s="8" t="s">
        <v>92</v>
      </c>
    </row>
    <row r="38" spans="1:6" ht="15.75">
      <c r="A38" t="s">
        <v>247</v>
      </c>
      <c r="B38" t="s">
        <v>229</v>
      </c>
      <c r="E38" s="8"/>
      <c r="F38" s="8"/>
    </row>
    <row r="39" spans="2:6" ht="15.75">
      <c r="B39" t="s">
        <v>317</v>
      </c>
      <c r="F39" s="8"/>
    </row>
    <row r="40" spans="3:5" ht="18.75">
      <c r="C40" s="3" t="s">
        <v>145</v>
      </c>
      <c r="D40" t="s">
        <v>231</v>
      </c>
      <c r="E40" t="s">
        <v>235</v>
      </c>
    </row>
    <row r="41" ht="15.75">
      <c r="C41" s="3"/>
    </row>
    <row r="42" spans="1:8" ht="15.75">
      <c r="A42" t="s">
        <v>117</v>
      </c>
      <c r="H42" t="s">
        <v>133</v>
      </c>
    </row>
    <row r="43" ht="15.75">
      <c r="H43" t="s">
        <v>244</v>
      </c>
    </row>
    <row r="44" spans="1:20" ht="18.75">
      <c r="A44" t="s">
        <v>54</v>
      </c>
      <c r="B44" s="3" t="s">
        <v>52</v>
      </c>
      <c r="C44" t="s">
        <v>236</v>
      </c>
      <c r="D44" s="3" t="s">
        <v>238</v>
      </c>
      <c r="E44" s="33">
        <f>H20</f>
        <v>2.8093833403567916</v>
      </c>
      <c r="F44" t="s">
        <v>15</v>
      </c>
      <c r="H44" t="s">
        <v>243</v>
      </c>
      <c r="I44" s="5" t="s">
        <v>100</v>
      </c>
      <c r="J44">
        <v>2689.6</v>
      </c>
      <c r="K44" t="s">
        <v>24</v>
      </c>
      <c r="M44" s="32"/>
      <c r="N44" s="32"/>
      <c r="O44" s="32"/>
      <c r="P44" s="32"/>
      <c r="Q44" s="32"/>
      <c r="R44" s="32"/>
      <c r="S44" s="32"/>
      <c r="T44" s="32"/>
    </row>
    <row r="45" spans="4:5" ht="15.75">
      <c r="D45" s="3"/>
      <c r="E45" s="34"/>
    </row>
    <row r="46" spans="1:6" ht="18.75">
      <c r="A46" t="s">
        <v>233</v>
      </c>
      <c r="B46" s="3" t="s">
        <v>52</v>
      </c>
      <c r="C46" t="s">
        <v>232</v>
      </c>
      <c r="D46" s="3" t="s">
        <v>237</v>
      </c>
      <c r="E46" s="35">
        <f>E32/1000+C17/H20</f>
        <v>0.00597808</v>
      </c>
      <c r="F46" t="s">
        <v>234</v>
      </c>
    </row>
    <row r="47" spans="5:8" ht="18.75">
      <c r="E47" s="36">
        <f>E46*1000</f>
        <v>5.97808</v>
      </c>
      <c r="F47" t="s">
        <v>235</v>
      </c>
      <c r="H47" t="s">
        <v>240</v>
      </c>
    </row>
    <row r="48" spans="1:10" ht="18.75">
      <c r="A48" t="s">
        <v>318</v>
      </c>
      <c r="B48" s="3" t="s">
        <v>52</v>
      </c>
      <c r="C48" t="s">
        <v>319</v>
      </c>
      <c r="D48" s="3" t="s">
        <v>239</v>
      </c>
      <c r="E48" s="33">
        <f>E44*(E35-B27)</f>
        <v>43.54544177553027</v>
      </c>
      <c r="F48" t="s">
        <v>66</v>
      </c>
      <c r="G48" s="8"/>
      <c r="H48" s="3" t="s">
        <v>106</v>
      </c>
      <c r="I48">
        <v>36.5</v>
      </c>
      <c r="J48" t="s">
        <v>241</v>
      </c>
    </row>
    <row r="50" spans="10:16" ht="15.75">
      <c r="J50" s="10" t="s">
        <v>242</v>
      </c>
      <c r="K50" s="11"/>
      <c r="L50" s="11"/>
      <c r="M50" s="11"/>
      <c r="N50" s="11"/>
      <c r="O50" s="11"/>
      <c r="P50" s="12"/>
    </row>
    <row r="51" spans="10:16" ht="18.75">
      <c r="J51" s="13" t="s">
        <v>61</v>
      </c>
      <c r="K51" s="14"/>
      <c r="L51" s="14">
        <f>1.01*20+E47/1000*(2500+1.805*20)</f>
        <v>35.361008688</v>
      </c>
      <c r="M51" s="14" t="s">
        <v>24</v>
      </c>
      <c r="N51" s="14" t="s">
        <v>62</v>
      </c>
      <c r="O51" s="14"/>
      <c r="P51" s="15"/>
    </row>
    <row r="54" ht="15.75">
      <c r="A54" t="s">
        <v>248</v>
      </c>
    </row>
    <row r="55" spans="1:10" ht="15.75">
      <c r="A55" s="93"/>
      <c r="B55" s="94"/>
      <c r="C55" s="94"/>
      <c r="D55" s="94"/>
      <c r="E55" s="94"/>
      <c r="F55" s="94"/>
      <c r="G55" s="94"/>
      <c r="H55" s="94"/>
      <c r="I55" s="94"/>
      <c r="J55" s="94"/>
    </row>
    <row r="56" ht="15.75">
      <c r="A56" s="3"/>
    </row>
    <row r="57" spans="1:4" ht="18.75">
      <c r="A57" s="5" t="s">
        <v>109</v>
      </c>
      <c r="B57" t="s">
        <v>279</v>
      </c>
      <c r="C57" s="8">
        <f>L51-B27</f>
        <v>20.861008688</v>
      </c>
      <c r="D57" t="s">
        <v>111</v>
      </c>
    </row>
    <row r="58" spans="1:4" ht="17.25">
      <c r="A58" s="16" t="s">
        <v>108</v>
      </c>
      <c r="B58" t="s">
        <v>278</v>
      </c>
      <c r="C58" s="8">
        <f>E47-E32</f>
        <v>2.27808</v>
      </c>
      <c r="D58" t="s">
        <v>112</v>
      </c>
    </row>
    <row r="59" spans="1:4" ht="18.75">
      <c r="A59" s="5" t="s">
        <v>275</v>
      </c>
      <c r="B59" t="s">
        <v>280</v>
      </c>
      <c r="C59">
        <f>C57/C58</f>
        <v>9.157276604860233</v>
      </c>
      <c r="D59" t="s">
        <v>110</v>
      </c>
    </row>
  </sheetData>
  <sheetProtection/>
  <mergeCells count="1">
    <mergeCell ref="A55:J55"/>
  </mergeCells>
  <printOptions/>
  <pageMargins left="0.75" right="0.75" top="1" bottom="1" header="0.5" footer="0.5"/>
  <pageSetup fitToHeight="0" fitToWidth="1" horizontalDpi="600" verticalDpi="600" orientation="landscape" paperSize="9" scale="4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A14" sqref="A14:J18"/>
    </sheetView>
  </sheetViews>
  <sheetFormatPr defaultColWidth="9.00390625" defaultRowHeight="15.75"/>
  <cols>
    <col min="2" max="2" width="15.75390625" style="0" customWidth="1"/>
    <col min="6" max="6" width="11.75390625" style="0" customWidth="1"/>
    <col min="8" max="8" width="16.375" style="0" customWidth="1"/>
  </cols>
  <sheetData>
    <row r="1" ht="15.75">
      <c r="A1" s="37" t="s">
        <v>389</v>
      </c>
    </row>
    <row r="8" ht="15.75">
      <c r="A8" s="37" t="s">
        <v>86</v>
      </c>
    </row>
    <row r="9" spans="1:4" ht="18.75">
      <c r="A9" s="4" t="s">
        <v>249</v>
      </c>
      <c r="D9" t="s">
        <v>320</v>
      </c>
    </row>
    <row r="10" spans="1:4" ht="18.75">
      <c r="A10" t="s">
        <v>390</v>
      </c>
      <c r="D10" t="s">
        <v>355</v>
      </c>
    </row>
    <row r="11" ht="15.75">
      <c r="A11" s="4" t="s">
        <v>327</v>
      </c>
    </row>
    <row r="12" ht="18">
      <c r="A12" s="4" t="s">
        <v>328</v>
      </c>
    </row>
    <row r="14" spans="1:6" ht="15.75">
      <c r="A14" s="37" t="s">
        <v>5</v>
      </c>
      <c r="F14" s="37" t="s">
        <v>8</v>
      </c>
    </row>
    <row r="15" spans="1:10" ht="19.5">
      <c r="A15" t="s">
        <v>329</v>
      </c>
      <c r="B15">
        <v>2500</v>
      </c>
      <c r="C15" t="s">
        <v>34</v>
      </c>
      <c r="D15" s="8">
        <f>B15/3600</f>
        <v>0.6944444444444444</v>
      </c>
      <c r="E15" t="s">
        <v>76</v>
      </c>
      <c r="F15" t="s">
        <v>330</v>
      </c>
      <c r="G15">
        <v>4000</v>
      </c>
      <c r="H15" t="s">
        <v>34</v>
      </c>
      <c r="I15" s="8">
        <f>G15/3600</f>
        <v>1.1111111111111112</v>
      </c>
      <c r="J15" t="s">
        <v>76</v>
      </c>
    </row>
    <row r="16" spans="1:7" ht="18.75">
      <c r="A16" t="s">
        <v>6</v>
      </c>
      <c r="B16" s="47">
        <v>0.7</v>
      </c>
      <c r="F16" t="s">
        <v>9</v>
      </c>
      <c r="G16" s="47">
        <v>0.5</v>
      </c>
    </row>
    <row r="17" spans="1:8" ht="18.75">
      <c r="A17" t="s">
        <v>7</v>
      </c>
      <c r="B17" s="3">
        <v>28</v>
      </c>
      <c r="C17" t="s">
        <v>92</v>
      </c>
      <c r="F17" t="s">
        <v>10</v>
      </c>
      <c r="G17">
        <v>19</v>
      </c>
      <c r="H17" t="s">
        <v>92</v>
      </c>
    </row>
    <row r="18" spans="1:7" ht="18.75">
      <c r="A18" t="s">
        <v>11</v>
      </c>
      <c r="B18" t="s">
        <v>14</v>
      </c>
      <c r="F18" t="s">
        <v>12</v>
      </c>
      <c r="G18" t="s">
        <v>14</v>
      </c>
    </row>
    <row r="22" ht="15.75">
      <c r="A22" t="s">
        <v>331</v>
      </c>
    </row>
    <row r="23" spans="1:10" ht="19.5">
      <c r="A23" t="s">
        <v>332</v>
      </c>
      <c r="B23">
        <f>0.83+(19-17)/(20-17)*(0.84-0.83)</f>
        <v>0.8366666666666667</v>
      </c>
      <c r="C23" t="s">
        <v>333</v>
      </c>
      <c r="D23" s="5" t="s">
        <v>35</v>
      </c>
      <c r="F23" s="3" t="s">
        <v>334</v>
      </c>
      <c r="G23" t="s">
        <v>335</v>
      </c>
      <c r="H23">
        <f>D15/B23</f>
        <v>0.8300132802124833</v>
      </c>
      <c r="I23" t="s">
        <v>15</v>
      </c>
      <c r="J23" s="48"/>
    </row>
    <row r="24" ht="15.75">
      <c r="J24" s="5"/>
    </row>
    <row r="25" spans="1:10" ht="15.75">
      <c r="A25" t="s">
        <v>42</v>
      </c>
      <c r="J25" s="5"/>
    </row>
    <row r="26" spans="1:10" ht="19.5">
      <c r="A26" t="s">
        <v>336</v>
      </c>
      <c r="B26">
        <v>0.876</v>
      </c>
      <c r="C26" t="s">
        <v>333</v>
      </c>
      <c r="D26" s="5" t="s">
        <v>35</v>
      </c>
      <c r="F26" s="3" t="s">
        <v>337</v>
      </c>
      <c r="G26" t="s">
        <v>338</v>
      </c>
      <c r="H26">
        <f>I15/B26</f>
        <v>1.2683916793505836</v>
      </c>
      <c r="I26" t="s">
        <v>15</v>
      </c>
      <c r="J26" s="48"/>
    </row>
    <row r="28" spans="1:3" ht="18.75">
      <c r="A28" s="3" t="s">
        <v>334</v>
      </c>
      <c r="B28" s="49">
        <f>H23</f>
        <v>0.8300132802124833</v>
      </c>
      <c r="C28" t="s">
        <v>15</v>
      </c>
    </row>
    <row r="29" spans="1:3" ht="18.75">
      <c r="A29" s="3" t="s">
        <v>337</v>
      </c>
      <c r="B29" s="49">
        <f>H26</f>
        <v>1.2683916793505836</v>
      </c>
      <c r="C29" t="s">
        <v>15</v>
      </c>
    </row>
    <row r="31" ht="15.75">
      <c r="A31" t="s">
        <v>44</v>
      </c>
    </row>
    <row r="32" spans="1:3" ht="18.75">
      <c r="A32" t="s">
        <v>339</v>
      </c>
      <c r="B32">
        <v>16.8</v>
      </c>
      <c r="C32" t="s">
        <v>23</v>
      </c>
    </row>
    <row r="33" spans="1:3" ht="18.75">
      <c r="A33" t="s">
        <v>340</v>
      </c>
      <c r="B33">
        <v>6.8</v>
      </c>
      <c r="C33" t="s">
        <v>23</v>
      </c>
    </row>
    <row r="34" spans="1:6" ht="15.75">
      <c r="A34" t="s">
        <v>45</v>
      </c>
      <c r="F34" s="5"/>
    </row>
    <row r="35" spans="1:3" ht="18.75">
      <c r="A35" t="s">
        <v>341</v>
      </c>
      <c r="B35">
        <v>71</v>
      </c>
      <c r="C35" t="s">
        <v>24</v>
      </c>
    </row>
    <row r="36" spans="1:3" ht="18.75">
      <c r="A36" t="s">
        <v>342</v>
      </c>
      <c r="B36">
        <v>36.4</v>
      </c>
      <c r="C36" t="s">
        <v>24</v>
      </c>
    </row>
    <row r="38" spans="1:4" ht="18.75">
      <c r="A38" s="24" t="s">
        <v>343</v>
      </c>
      <c r="B38" s="24"/>
      <c r="C38" s="24">
        <f>1.01*28+16.8/1000*(2500+1.805*28)</f>
        <v>71.12907200000001</v>
      </c>
      <c r="D38" s="24" t="s">
        <v>24</v>
      </c>
    </row>
    <row r="39" spans="1:4" ht="18.75">
      <c r="A39" s="24" t="s">
        <v>344</v>
      </c>
      <c r="B39" s="24"/>
      <c r="C39" s="24">
        <f>1.01*G17+B33/1000*(2500+1.805*G17)</f>
        <v>36.423206</v>
      </c>
      <c r="D39" s="24" t="s">
        <v>24</v>
      </c>
    </row>
    <row r="42" ht="15.75">
      <c r="A42" t="s">
        <v>311</v>
      </c>
    </row>
    <row r="43" ht="15.75">
      <c r="A43" t="s">
        <v>345</v>
      </c>
    </row>
    <row r="44" ht="15.75">
      <c r="A44" t="s">
        <v>346</v>
      </c>
    </row>
    <row r="46" spans="1:10" ht="18.75">
      <c r="A46" t="s">
        <v>25</v>
      </c>
      <c r="D46" t="s">
        <v>347</v>
      </c>
      <c r="G46" t="s">
        <v>348</v>
      </c>
      <c r="I46" s="8">
        <f>B28+B29</f>
        <v>2.0984049595630667</v>
      </c>
      <c r="J46" t="s">
        <v>15</v>
      </c>
    </row>
    <row r="47" spans="1:11" ht="18.75">
      <c r="A47" s="4" t="s">
        <v>27</v>
      </c>
      <c r="D47" t="s">
        <v>349</v>
      </c>
      <c r="G47" t="s">
        <v>350</v>
      </c>
      <c r="I47" s="8">
        <f>(B28*B32+B29*B33)/(B28+B29)</f>
        <v>10.75544852498495</v>
      </c>
      <c r="J47" t="s">
        <v>23</v>
      </c>
      <c r="K47" s="50"/>
    </row>
    <row r="48" spans="1:11" ht="18.75">
      <c r="A48" t="s">
        <v>26</v>
      </c>
      <c r="D48" t="s">
        <v>351</v>
      </c>
      <c r="G48" s="4" t="s">
        <v>352</v>
      </c>
      <c r="I48" s="8">
        <f>(B28*B35+B29*B36)/(H23+H26)</f>
        <v>50.08585189644793</v>
      </c>
      <c r="J48" t="s">
        <v>24</v>
      </c>
      <c r="K48" s="50"/>
    </row>
    <row r="51" ht="18.75">
      <c r="A51" t="s">
        <v>353</v>
      </c>
    </row>
    <row r="52" ht="15.75">
      <c r="A52" t="s">
        <v>354</v>
      </c>
    </row>
    <row r="54" spans="1:3" ht="18.75">
      <c r="A54" t="s">
        <v>355</v>
      </c>
      <c r="B54">
        <v>22.8</v>
      </c>
      <c r="C54" t="s">
        <v>92</v>
      </c>
    </row>
    <row r="56" ht="15.75">
      <c r="A56" s="51" t="s">
        <v>93</v>
      </c>
    </row>
    <row r="58" ht="15.75">
      <c r="A58" t="s">
        <v>356</v>
      </c>
    </row>
    <row r="59" ht="15.75">
      <c r="A59" t="s">
        <v>357</v>
      </c>
    </row>
    <row r="60" ht="15.75">
      <c r="A60" t="s">
        <v>141</v>
      </c>
    </row>
    <row r="61" ht="15.75">
      <c r="A61" t="s">
        <v>358</v>
      </c>
    </row>
    <row r="62" ht="15.75">
      <c r="A62" t="s">
        <v>359</v>
      </c>
    </row>
    <row r="63" ht="15.75">
      <c r="A63" t="s">
        <v>360</v>
      </c>
    </row>
    <row r="64" ht="15.75">
      <c r="A64" t="s">
        <v>361</v>
      </c>
    </row>
    <row r="65" ht="15.75">
      <c r="A65" t="s">
        <v>362</v>
      </c>
    </row>
    <row r="66" ht="15.75">
      <c r="A66" t="s">
        <v>363</v>
      </c>
    </row>
    <row r="67" spans="1:3" ht="15.75">
      <c r="A67" t="s">
        <v>364</v>
      </c>
      <c r="B67">
        <v>8.8</v>
      </c>
      <c r="C67" t="s">
        <v>23</v>
      </c>
    </row>
    <row r="68" spans="1:5" ht="15.75">
      <c r="A68" t="s">
        <v>365</v>
      </c>
      <c r="B68">
        <v>34</v>
      </c>
      <c r="C68" t="s">
        <v>24</v>
      </c>
      <c r="E68" t="s">
        <v>242</v>
      </c>
    </row>
    <row r="69" spans="1:8" ht="18.75">
      <c r="A69" t="s">
        <v>69</v>
      </c>
      <c r="B69">
        <v>12</v>
      </c>
      <c r="C69" t="s">
        <v>92</v>
      </c>
      <c r="E69" s="24" t="s">
        <v>366</v>
      </c>
      <c r="G69">
        <f>1.01*B69+B67/1000*(2500+1.805*B69)</f>
        <v>34.310608</v>
      </c>
      <c r="H69" t="s">
        <v>24</v>
      </c>
    </row>
    <row r="71" ht="15.75">
      <c r="A71" s="52" t="s">
        <v>293</v>
      </c>
    </row>
    <row r="72" ht="15.75">
      <c r="A72" s="52"/>
    </row>
    <row r="73" spans="1:8" ht="18">
      <c r="A73" s="52" t="s">
        <v>25</v>
      </c>
      <c r="D73" t="s">
        <v>367</v>
      </c>
      <c r="G73" s="8">
        <f>I46</f>
        <v>2.0984049595630667</v>
      </c>
      <c r="H73" t="s">
        <v>15</v>
      </c>
    </row>
    <row r="74" spans="1:8" ht="18">
      <c r="A74" s="52" t="s">
        <v>368</v>
      </c>
      <c r="D74" t="s">
        <v>369</v>
      </c>
      <c r="F74" t="s">
        <v>370</v>
      </c>
      <c r="G74">
        <f>G73*(I47-B67)/1000</f>
        <v>0.0041033228829987</v>
      </c>
      <c r="H74" t="s">
        <v>15</v>
      </c>
    </row>
    <row r="75" spans="1:4" ht="18.75">
      <c r="A75" s="52" t="s">
        <v>26</v>
      </c>
      <c r="D75" s="4" t="s">
        <v>371</v>
      </c>
    </row>
    <row r="76" spans="1:4" ht="15.75">
      <c r="A76" s="52"/>
      <c r="D76" s="4"/>
    </row>
    <row r="77" ht="15.75">
      <c r="A77" s="53" t="s">
        <v>372</v>
      </c>
    </row>
    <row r="78" ht="15.75">
      <c r="A78" t="s">
        <v>373</v>
      </c>
    </row>
    <row r="79" ht="15.75">
      <c r="A79" t="s">
        <v>374</v>
      </c>
    </row>
    <row r="80" ht="15.75">
      <c r="C80" t="s">
        <v>375</v>
      </c>
    </row>
    <row r="81" spans="1:7" ht="15.75">
      <c r="A81" t="s">
        <v>376</v>
      </c>
      <c r="B81" s="32">
        <v>10</v>
      </c>
      <c r="C81" s="3" t="s">
        <v>377</v>
      </c>
      <c r="D81">
        <v>42.03</v>
      </c>
      <c r="E81" t="s">
        <v>24</v>
      </c>
      <c r="G81" t="s">
        <v>378</v>
      </c>
    </row>
    <row r="82" spans="1:5" ht="15.75">
      <c r="A82" t="s">
        <v>379</v>
      </c>
      <c r="B82" s="32">
        <v>15</v>
      </c>
      <c r="C82" s="3" t="s">
        <v>380</v>
      </c>
      <c r="D82">
        <v>62.96</v>
      </c>
      <c r="E82" t="s">
        <v>24</v>
      </c>
    </row>
    <row r="84" spans="1:4" ht="18">
      <c r="A84" s="3" t="s">
        <v>381</v>
      </c>
      <c r="B84" s="21">
        <f>D81+(12-B81)/(B82-B81)*(D82-D81)</f>
        <v>50.402</v>
      </c>
      <c r="C84" t="s">
        <v>24</v>
      </c>
      <c r="D84" t="s">
        <v>382</v>
      </c>
    </row>
    <row r="87" ht="18">
      <c r="A87" t="s">
        <v>383</v>
      </c>
    </row>
    <row r="89" spans="1:4" ht="18.75">
      <c r="A89" s="4" t="s">
        <v>391</v>
      </c>
      <c r="C89" s="54">
        <f>G73*(I48-B68)-G74*B84</f>
        <v>33.54781571835439</v>
      </c>
      <c r="D89" t="s">
        <v>66</v>
      </c>
    </row>
    <row r="91" ht="15.75">
      <c r="A91" t="s">
        <v>258</v>
      </c>
    </row>
    <row r="92" spans="1:4" ht="18.75">
      <c r="A92" s="5" t="s">
        <v>384</v>
      </c>
      <c r="B92" t="s">
        <v>385</v>
      </c>
      <c r="D92" s="8">
        <f>B68-I48</f>
        <v>-16.085851896447927</v>
      </c>
    </row>
    <row r="93" spans="1:4" ht="17.25">
      <c r="A93" s="55" t="s">
        <v>108</v>
      </c>
      <c r="B93" t="s">
        <v>386</v>
      </c>
      <c r="D93" s="8">
        <f>B67-I47</f>
        <v>-1.9554485249849485</v>
      </c>
    </row>
    <row r="94" spans="1:4" ht="18.75">
      <c r="A94" s="5" t="s">
        <v>387</v>
      </c>
      <c r="B94" t="s">
        <v>388</v>
      </c>
      <c r="D94">
        <f>D92/D93</f>
        <v>8.22616995073892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C38" sqref="C38"/>
    </sheetView>
  </sheetViews>
  <sheetFormatPr defaultColWidth="9.00390625" defaultRowHeight="15.75"/>
  <sheetData>
    <row r="1" spans="1:11" ht="15.75">
      <c r="A1" s="56" t="s">
        <v>423</v>
      </c>
      <c r="B1" s="56"/>
      <c r="C1" s="56"/>
      <c r="D1" s="56"/>
      <c r="E1" s="57"/>
      <c r="F1" s="57"/>
      <c r="G1" s="57"/>
      <c r="H1" s="57"/>
      <c r="I1" s="57"/>
      <c r="J1" s="57"/>
      <c r="K1" s="57"/>
    </row>
    <row r="2" spans="1:11" ht="15.75">
      <c r="A2" s="56" t="s">
        <v>392</v>
      </c>
      <c r="B2" s="56"/>
      <c r="C2" s="56"/>
      <c r="D2" s="56"/>
      <c r="E2" s="57"/>
      <c r="F2" s="57"/>
      <c r="G2" s="57"/>
      <c r="H2" s="57"/>
      <c r="I2" s="57"/>
      <c r="J2" s="57"/>
      <c r="K2" s="57"/>
    </row>
    <row r="3" spans="1:11" ht="15.75">
      <c r="A3" s="56"/>
      <c r="B3" s="56"/>
      <c r="C3" s="56"/>
      <c r="D3" s="56"/>
      <c r="E3" s="57"/>
      <c r="F3" s="57"/>
      <c r="G3" s="57"/>
      <c r="H3" s="57"/>
      <c r="I3" s="57"/>
      <c r="J3" s="57"/>
      <c r="K3" s="57"/>
    </row>
    <row r="4" spans="1:11" ht="15.75">
      <c r="A4" s="56"/>
      <c r="B4" s="56"/>
      <c r="C4" s="56"/>
      <c r="D4" s="56"/>
      <c r="E4" s="57"/>
      <c r="F4" s="57"/>
      <c r="G4" s="57"/>
      <c r="H4" s="57"/>
      <c r="I4" s="57"/>
      <c r="J4" s="57"/>
      <c r="K4" s="57"/>
    </row>
    <row r="5" spans="1:11" ht="15.75">
      <c r="A5" s="56"/>
      <c r="B5" s="56"/>
      <c r="C5" s="56"/>
      <c r="D5" s="56"/>
      <c r="E5" s="57"/>
      <c r="F5" s="57"/>
      <c r="G5" s="57"/>
      <c r="H5" s="57"/>
      <c r="I5" s="57"/>
      <c r="J5" s="57"/>
      <c r="K5" s="57"/>
    </row>
    <row r="6" spans="1:11" ht="15.75">
      <c r="A6" s="56"/>
      <c r="B6" s="56"/>
      <c r="C6" s="56"/>
      <c r="D6" s="56"/>
      <c r="E6" s="57"/>
      <c r="F6" s="57"/>
      <c r="G6" s="57"/>
      <c r="H6" s="57"/>
      <c r="I6" s="57"/>
      <c r="J6" s="57"/>
      <c r="K6" s="57"/>
    </row>
    <row r="7" spans="1:11" ht="15.75">
      <c r="A7" s="56"/>
      <c r="B7" s="56"/>
      <c r="C7" s="56"/>
      <c r="D7" s="56"/>
      <c r="E7" s="57"/>
      <c r="F7" s="57"/>
      <c r="G7" s="57"/>
      <c r="H7" s="57"/>
      <c r="I7" s="57"/>
      <c r="J7" s="57"/>
      <c r="K7" s="57"/>
    </row>
    <row r="8" spans="1:11" ht="15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ht="15.75">
      <c r="A9" s="56" t="s">
        <v>5</v>
      </c>
      <c r="B9" s="57"/>
      <c r="C9" s="57"/>
      <c r="D9" s="57"/>
      <c r="E9" s="57"/>
      <c r="F9" s="56" t="s">
        <v>8</v>
      </c>
      <c r="G9" s="57"/>
      <c r="H9" s="57"/>
      <c r="I9" s="57"/>
      <c r="J9" s="57"/>
      <c r="K9" s="57"/>
    </row>
    <row r="10" spans="1:11" ht="19.5">
      <c r="A10" s="57" t="s">
        <v>393</v>
      </c>
      <c r="B10" s="57">
        <v>3000</v>
      </c>
      <c r="C10" s="57" t="s">
        <v>394</v>
      </c>
      <c r="D10" s="58">
        <f>B10/3600</f>
        <v>0.8333333333333334</v>
      </c>
      <c r="E10" s="57" t="s">
        <v>395</v>
      </c>
      <c r="F10" s="57" t="s">
        <v>396</v>
      </c>
      <c r="G10" s="57">
        <v>4500</v>
      </c>
      <c r="H10" s="57" t="s">
        <v>394</v>
      </c>
      <c r="I10" s="58">
        <f>G10/3600</f>
        <v>1.25</v>
      </c>
      <c r="J10" s="57" t="s">
        <v>395</v>
      </c>
      <c r="K10" s="57"/>
    </row>
    <row r="11" spans="1:11" ht="18.75">
      <c r="A11" s="57" t="s">
        <v>397</v>
      </c>
      <c r="B11" s="59">
        <v>0.9</v>
      </c>
      <c r="C11" s="57"/>
      <c r="D11" s="57"/>
      <c r="E11" s="57"/>
      <c r="F11" s="57" t="s">
        <v>398</v>
      </c>
      <c r="G11" s="60">
        <v>0.5</v>
      </c>
      <c r="H11" s="57"/>
      <c r="I11" s="57"/>
      <c r="J11" s="57"/>
      <c r="K11" s="57"/>
    </row>
    <row r="12" spans="1:11" ht="18.75">
      <c r="A12" s="57" t="s">
        <v>399</v>
      </c>
      <c r="B12" s="61">
        <v>6</v>
      </c>
      <c r="C12" s="57" t="s">
        <v>92</v>
      </c>
      <c r="D12" s="57"/>
      <c r="E12" s="57"/>
      <c r="F12" s="57" t="s">
        <v>400</v>
      </c>
      <c r="G12" s="57">
        <v>22</v>
      </c>
      <c r="H12" s="57" t="s">
        <v>92</v>
      </c>
      <c r="I12" s="57"/>
      <c r="J12" s="57"/>
      <c r="K12" s="57"/>
    </row>
    <row r="13" spans="1:11" ht="18.75">
      <c r="A13" s="57" t="s">
        <v>332</v>
      </c>
      <c r="B13" s="57" t="s">
        <v>14</v>
      </c>
      <c r="C13" s="57"/>
      <c r="D13" s="57"/>
      <c r="E13" s="57"/>
      <c r="F13" s="57" t="s">
        <v>336</v>
      </c>
      <c r="G13" s="57" t="s">
        <v>14</v>
      </c>
      <c r="H13" s="57"/>
      <c r="I13" s="57"/>
      <c r="J13" s="57"/>
      <c r="K13" s="57"/>
    </row>
    <row r="14" spans="1:11" ht="15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15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15.75">
      <c r="A16" s="56" t="s">
        <v>86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18.75">
      <c r="A17" s="62" t="s">
        <v>401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1" ht="15.75">
      <c r="A18" s="62" t="s">
        <v>402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15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15.75">
      <c r="A20" s="57" t="s">
        <v>403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9.5">
      <c r="A21" s="57" t="s">
        <v>332</v>
      </c>
      <c r="B21" s="57">
        <v>0.795</v>
      </c>
      <c r="C21" s="57" t="s">
        <v>333</v>
      </c>
      <c r="D21" s="63" t="s">
        <v>35</v>
      </c>
      <c r="E21" s="57"/>
      <c r="F21" s="61" t="s">
        <v>334</v>
      </c>
      <c r="G21" s="57" t="s">
        <v>335</v>
      </c>
      <c r="H21" s="57">
        <f>B10/3600/B21</f>
        <v>1.0482180293501049</v>
      </c>
      <c r="I21" s="57" t="s">
        <v>15</v>
      </c>
      <c r="J21" s="64">
        <f>H21</f>
        <v>1.0482180293501049</v>
      </c>
      <c r="K21" s="57" t="s">
        <v>15</v>
      </c>
    </row>
    <row r="22" spans="1:11" ht="15.75">
      <c r="A22" s="57"/>
      <c r="B22" s="57"/>
      <c r="C22" s="57"/>
      <c r="D22" s="57"/>
      <c r="E22" s="57"/>
      <c r="F22" s="57"/>
      <c r="G22" s="57"/>
      <c r="H22" s="57"/>
      <c r="I22" s="57"/>
      <c r="J22" s="63"/>
      <c r="K22" s="57"/>
    </row>
    <row r="23" spans="1:11" ht="15.75">
      <c r="A23" s="57" t="s">
        <v>403</v>
      </c>
      <c r="B23" s="57"/>
      <c r="C23" s="57"/>
      <c r="D23" s="57"/>
      <c r="E23" s="57"/>
      <c r="F23" s="57"/>
      <c r="G23" s="57"/>
      <c r="H23" s="57"/>
      <c r="I23" s="57"/>
      <c r="J23" s="63"/>
      <c r="K23" s="57"/>
    </row>
    <row r="24" spans="1:11" ht="19.5">
      <c r="A24" s="57" t="s">
        <v>336</v>
      </c>
      <c r="B24" s="57">
        <v>0.857</v>
      </c>
      <c r="C24" s="57" t="s">
        <v>333</v>
      </c>
      <c r="D24" s="63" t="s">
        <v>35</v>
      </c>
      <c r="E24" s="57"/>
      <c r="F24" s="61" t="s">
        <v>337</v>
      </c>
      <c r="G24" s="57" t="s">
        <v>338</v>
      </c>
      <c r="H24" s="57">
        <f>G10/3600/B24</f>
        <v>1.4585764294049008</v>
      </c>
      <c r="I24" s="57" t="s">
        <v>15</v>
      </c>
      <c r="J24" s="64">
        <f>H24</f>
        <v>1.4585764294049008</v>
      </c>
      <c r="K24" s="57" t="s">
        <v>15</v>
      </c>
    </row>
    <row r="25" spans="1:11" ht="15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ht="18.75">
      <c r="A26" s="61" t="s">
        <v>334</v>
      </c>
      <c r="B26" s="65">
        <v>1.34</v>
      </c>
      <c r="C26" s="57" t="s">
        <v>15</v>
      </c>
      <c r="D26" s="57"/>
      <c r="E26" s="57"/>
      <c r="F26" s="57"/>
      <c r="G26" s="57"/>
      <c r="H26" s="57"/>
      <c r="I26" s="57"/>
      <c r="J26" s="57"/>
      <c r="K26" s="57"/>
    </row>
    <row r="27" spans="1:11" ht="18.75">
      <c r="A27" s="61" t="s">
        <v>337</v>
      </c>
      <c r="B27" s="65">
        <v>0.47</v>
      </c>
      <c r="C27" s="57" t="s">
        <v>15</v>
      </c>
      <c r="D27" s="57"/>
      <c r="E27" s="57"/>
      <c r="F27" s="57"/>
      <c r="G27" s="57"/>
      <c r="H27" s="57"/>
      <c r="I27" s="57"/>
      <c r="J27" s="57"/>
      <c r="K27" s="57"/>
    </row>
    <row r="28" spans="1:11" ht="15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1" ht="15.75">
      <c r="A29" s="57" t="s">
        <v>44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ht="18.75">
      <c r="A30" s="57" t="s">
        <v>339</v>
      </c>
      <c r="B30" s="57">
        <v>5.3</v>
      </c>
      <c r="C30" s="57" t="s">
        <v>23</v>
      </c>
      <c r="D30" s="57"/>
      <c r="E30" s="57"/>
      <c r="F30" s="57"/>
      <c r="G30" s="57"/>
      <c r="H30" s="57"/>
      <c r="I30" s="57"/>
      <c r="J30" s="57"/>
      <c r="K30" s="57"/>
    </row>
    <row r="31" spans="1:11" ht="18.75">
      <c r="A31" s="57" t="s">
        <v>340</v>
      </c>
      <c r="B31" s="57">
        <v>8.2</v>
      </c>
      <c r="C31" s="57" t="s">
        <v>23</v>
      </c>
      <c r="D31" s="57"/>
      <c r="E31" s="57"/>
      <c r="F31" s="57"/>
      <c r="G31" s="57"/>
      <c r="H31" s="57"/>
      <c r="I31" s="57"/>
      <c r="J31" s="57"/>
      <c r="K31" s="57"/>
    </row>
    <row r="32" spans="1:11" ht="15.75">
      <c r="A32" s="57" t="s">
        <v>45</v>
      </c>
      <c r="B32" s="57"/>
      <c r="C32" s="57"/>
      <c r="D32" s="57"/>
      <c r="E32" s="57"/>
      <c r="F32" s="63"/>
      <c r="G32" s="57"/>
      <c r="H32" s="57"/>
      <c r="I32" s="57"/>
      <c r="J32" s="57"/>
      <c r="K32" s="66"/>
    </row>
    <row r="33" spans="1:11" ht="18.75">
      <c r="A33" s="57" t="s">
        <v>341</v>
      </c>
      <c r="B33" s="57">
        <v>19.3</v>
      </c>
      <c r="C33" s="57" t="s">
        <v>24</v>
      </c>
      <c r="D33" s="57"/>
      <c r="E33" s="57"/>
      <c r="F33" s="57"/>
      <c r="G33" s="57"/>
      <c r="H33" s="57"/>
      <c r="I33" s="57"/>
      <c r="J33" s="57"/>
      <c r="K33" s="66"/>
    </row>
    <row r="34" spans="1:11" ht="18.75">
      <c r="A34" s="57" t="s">
        <v>342</v>
      </c>
      <c r="B34" s="57">
        <v>43</v>
      </c>
      <c r="C34" s="57" t="s">
        <v>24</v>
      </c>
      <c r="D34" s="57"/>
      <c r="E34" s="57"/>
      <c r="F34" s="57"/>
      <c r="G34" s="57"/>
      <c r="H34" s="57"/>
      <c r="I34" s="57"/>
      <c r="J34" s="57"/>
      <c r="K34" s="66"/>
    </row>
    <row r="35" spans="1:11" ht="15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5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1" ht="15.75">
      <c r="A37" s="66" t="s">
        <v>242</v>
      </c>
      <c r="B37" s="66"/>
      <c r="C37" s="66"/>
      <c r="D37" s="66"/>
      <c r="E37" s="57"/>
      <c r="F37" s="57"/>
      <c r="G37" s="57"/>
      <c r="H37" s="57"/>
      <c r="I37" s="57"/>
      <c r="J37" s="57"/>
      <c r="K37" s="57"/>
    </row>
    <row r="38" spans="1:11" ht="18.75">
      <c r="A38" s="66" t="s">
        <v>404</v>
      </c>
      <c r="B38" s="66"/>
      <c r="C38" s="67">
        <f>1.01*B12+B30/1000*(2500+1.805*B12)</f>
        <v>19.367399</v>
      </c>
      <c r="D38" s="66" t="s">
        <v>24</v>
      </c>
      <c r="E38" s="57"/>
      <c r="F38" s="57"/>
      <c r="G38" s="57"/>
      <c r="H38" s="57"/>
      <c r="I38" s="57"/>
      <c r="J38" s="57"/>
      <c r="K38" s="57"/>
    </row>
    <row r="39" spans="1:11" ht="18.75">
      <c r="A39" s="66" t="s">
        <v>405</v>
      </c>
      <c r="B39" s="66"/>
      <c r="C39" s="67">
        <f>1.01*G12+B31/1000*(2500+1.805*G12)</f>
        <v>43.045621999999995</v>
      </c>
      <c r="D39" s="66" t="s">
        <v>24</v>
      </c>
      <c r="E39" s="57"/>
      <c r="F39" s="57"/>
      <c r="G39" s="57"/>
      <c r="H39" s="57"/>
      <c r="I39" s="57"/>
      <c r="J39" s="57"/>
      <c r="K39" s="57"/>
    </row>
    <row r="40" spans="1:11" ht="15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1:11" ht="15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1:11" ht="15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</row>
    <row r="43" spans="1:11" ht="15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5.75">
      <c r="A44" s="57" t="s">
        <v>311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5.75">
      <c r="A45" s="57" t="s">
        <v>406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5.75">
      <c r="A46" s="57" t="s">
        <v>407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5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5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 ht="15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8.75">
      <c r="A50" s="57" t="s">
        <v>25</v>
      </c>
      <c r="B50" s="57"/>
      <c r="C50" s="57"/>
      <c r="D50" s="57" t="s">
        <v>347</v>
      </c>
      <c r="E50" s="57"/>
      <c r="F50" s="57" t="s">
        <v>348</v>
      </c>
      <c r="G50" s="57"/>
      <c r="H50" s="58">
        <f>J21+J24</f>
        <v>2.5067944587550057</v>
      </c>
      <c r="I50" s="57" t="s">
        <v>15</v>
      </c>
      <c r="J50" s="57"/>
      <c r="K50" s="57"/>
    </row>
    <row r="51" spans="1:11" ht="18.75">
      <c r="A51" s="62" t="s">
        <v>27</v>
      </c>
      <c r="B51" s="57"/>
      <c r="C51" s="57"/>
      <c r="D51" s="57" t="s">
        <v>349</v>
      </c>
      <c r="E51" s="57"/>
      <c r="F51" s="57" t="s">
        <v>350</v>
      </c>
      <c r="G51" s="57"/>
      <c r="H51" s="58">
        <f>(J21*B30+J24*B31)/H50</f>
        <v>6.987362771407659</v>
      </c>
      <c r="I51" s="57" t="s">
        <v>23</v>
      </c>
      <c r="J51" s="68">
        <f>H51</f>
        <v>6.987362771407659</v>
      </c>
      <c r="K51" s="57" t="s">
        <v>23</v>
      </c>
    </row>
    <row r="52" spans="1:11" ht="18.75">
      <c r="A52" s="57" t="s">
        <v>26</v>
      </c>
      <c r="B52" s="57"/>
      <c r="C52" s="57"/>
      <c r="D52" s="57" t="s">
        <v>351</v>
      </c>
      <c r="E52" s="57"/>
      <c r="F52" s="62" t="s">
        <v>352</v>
      </c>
      <c r="G52" s="57"/>
      <c r="H52" s="58">
        <f>(J21*B33+J24*B34)/H50</f>
        <v>33.089826787021224</v>
      </c>
      <c r="I52" s="57" t="s">
        <v>24</v>
      </c>
      <c r="J52" s="69">
        <f>H52</f>
        <v>33.089826787021224</v>
      </c>
      <c r="K52" s="57" t="s">
        <v>24</v>
      </c>
    </row>
    <row r="53" spans="1:11" ht="15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 ht="15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8.75">
      <c r="A55" s="57" t="s">
        <v>408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1" ht="18.75">
      <c r="A56" s="57" t="s">
        <v>355</v>
      </c>
      <c r="B56" s="57" t="s">
        <v>78</v>
      </c>
      <c r="C56" s="57"/>
      <c r="D56" s="57"/>
      <c r="E56" s="57"/>
      <c r="F56" s="57"/>
      <c r="G56" s="57"/>
      <c r="H56" s="57"/>
      <c r="I56" s="57"/>
      <c r="J56" s="57"/>
      <c r="K56" s="57"/>
    </row>
    <row r="57" spans="1:11" ht="15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5.75">
      <c r="A58" s="57" t="s">
        <v>409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spans="1:11" ht="15.75">
      <c r="A59" s="57" t="s">
        <v>48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1:11" ht="15.75">
      <c r="A60" s="57" t="s">
        <v>410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1:11" ht="15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5.75">
      <c r="A62" s="57" t="s">
        <v>411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5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8.75">
      <c r="A64" s="57" t="s">
        <v>412</v>
      </c>
      <c r="B64" s="57" t="s">
        <v>56</v>
      </c>
      <c r="C64" s="57"/>
      <c r="D64" s="57" t="s">
        <v>413</v>
      </c>
      <c r="E64" s="57" t="s">
        <v>64</v>
      </c>
      <c r="F64" s="61" t="s">
        <v>413</v>
      </c>
      <c r="G64" s="57">
        <f>H50</f>
        <v>2.5067944587550057</v>
      </c>
      <c r="H64" s="57" t="s">
        <v>15</v>
      </c>
      <c r="I64" s="57"/>
      <c r="J64" s="57"/>
      <c r="K64" s="57"/>
    </row>
    <row r="65" spans="1:11" ht="15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8.75">
      <c r="A66" s="57" t="s">
        <v>414</v>
      </c>
      <c r="B66" s="61" t="s">
        <v>52</v>
      </c>
      <c r="C66" s="57" t="s">
        <v>415</v>
      </c>
      <c r="D66" s="57"/>
      <c r="E66" s="57"/>
      <c r="F66" s="61" t="s">
        <v>416</v>
      </c>
      <c r="G66" s="58">
        <f>J51</f>
        <v>6.987362771407659</v>
      </c>
      <c r="H66" s="57" t="s">
        <v>23</v>
      </c>
      <c r="I66" s="57"/>
      <c r="J66" s="57"/>
      <c r="K66" s="57"/>
    </row>
    <row r="67" spans="1:11" ht="15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8.75">
      <c r="A68" s="57" t="s">
        <v>417</v>
      </c>
      <c r="B68" s="61" t="s">
        <v>52</v>
      </c>
      <c r="C68" s="57" t="s">
        <v>418</v>
      </c>
      <c r="D68" s="57"/>
      <c r="E68" s="57"/>
      <c r="F68" s="57"/>
      <c r="G68" s="57"/>
      <c r="H68" s="57"/>
      <c r="I68" s="57"/>
      <c r="J68" s="57"/>
      <c r="K68" s="57"/>
    </row>
    <row r="69" spans="1:11" ht="15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5.75">
      <c r="A70" s="57" t="s">
        <v>58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5.75">
      <c r="A71" s="57"/>
      <c r="B71" s="57"/>
      <c r="C71" s="57"/>
      <c r="D71" s="70" t="s">
        <v>60</v>
      </c>
      <c r="E71" s="71"/>
      <c r="F71" s="71"/>
      <c r="G71" s="71"/>
      <c r="H71" s="71"/>
      <c r="I71" s="71"/>
      <c r="J71" s="72"/>
      <c r="K71" s="57"/>
    </row>
    <row r="72" spans="1:11" ht="18.75">
      <c r="A72" s="57" t="s">
        <v>419</v>
      </c>
      <c r="B72" s="57">
        <v>46</v>
      </c>
      <c r="C72" s="57" t="s">
        <v>24</v>
      </c>
      <c r="D72" s="73" t="s">
        <v>420</v>
      </c>
      <c r="E72" s="74"/>
      <c r="F72" s="74">
        <f>1.01*28+G66/1000*(2500+1.805*28)</f>
        <v>46.10154824298609</v>
      </c>
      <c r="G72" s="74" t="s">
        <v>24</v>
      </c>
      <c r="H72" s="74" t="s">
        <v>62</v>
      </c>
      <c r="I72" s="74"/>
      <c r="J72" s="75"/>
      <c r="K72" s="57"/>
    </row>
    <row r="73" spans="1:11" ht="15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5.75">
      <c r="A74" s="57" t="s">
        <v>63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5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8.75">
      <c r="A76" s="57" t="s">
        <v>418</v>
      </c>
      <c r="B76" s="58">
        <f>H50*(B72-J52)</f>
        <v>32.363150671862506</v>
      </c>
      <c r="C76" s="57" t="s">
        <v>66</v>
      </c>
      <c r="D76" s="57"/>
      <c r="E76" s="57"/>
      <c r="F76" s="57"/>
      <c r="G76" s="57"/>
      <c r="H76" s="57"/>
      <c r="I76" s="57"/>
      <c r="J76" s="57"/>
      <c r="K76" s="57"/>
    </row>
    <row r="77" spans="1:11" ht="15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5.75">
      <c r="A78" s="57" t="s">
        <v>421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5.75">
      <c r="A79" s="57" t="s">
        <v>68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5.75">
      <c r="A80" s="57" t="s">
        <v>138</v>
      </c>
      <c r="B80" s="57">
        <v>8.6</v>
      </c>
      <c r="C80" s="57" t="s">
        <v>92</v>
      </c>
      <c r="D80" s="57"/>
      <c r="E80" s="57"/>
      <c r="F80" s="57"/>
      <c r="G80" s="57"/>
      <c r="H80" s="57"/>
      <c r="I80" s="57"/>
      <c r="J80" s="57"/>
      <c r="K80" s="57"/>
    </row>
    <row r="81" spans="1:11" ht="15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5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5.75">
      <c r="A83" t="s">
        <v>258</v>
      </c>
      <c r="D83" s="57"/>
      <c r="E83" s="57"/>
      <c r="F83" s="57"/>
      <c r="G83" s="57"/>
      <c r="H83" s="57"/>
      <c r="I83" s="57"/>
      <c r="J83" s="57"/>
      <c r="K83" s="57"/>
    </row>
    <row r="84" spans="1:11" ht="15.75">
      <c r="A84" t="s">
        <v>422</v>
      </c>
      <c r="C84" s="54"/>
      <c r="D84" s="8"/>
      <c r="E84" s="57"/>
      <c r="F84" s="57"/>
      <c r="G84" s="57"/>
      <c r="H84" s="57"/>
      <c r="I84" s="57"/>
      <c r="J84" s="57"/>
      <c r="K84" s="57"/>
    </row>
    <row r="85" spans="1:11" ht="17.25">
      <c r="A85" s="55" t="s">
        <v>108</v>
      </c>
      <c r="B85" t="s">
        <v>386</v>
      </c>
      <c r="C85">
        <v>0</v>
      </c>
      <c r="D85" s="8"/>
      <c r="E85" s="57"/>
      <c r="F85" s="57"/>
      <c r="G85" s="57"/>
      <c r="H85" s="57"/>
      <c r="I85" s="57"/>
      <c r="J85" s="57"/>
      <c r="K85" s="57"/>
    </row>
    <row r="86" spans="1:11" ht="15.75">
      <c r="A86" s="5"/>
      <c r="E86" s="57"/>
      <c r="F86" s="57"/>
      <c r="G86" s="57"/>
      <c r="H86" s="57"/>
      <c r="I86" s="57"/>
      <c r="J86" s="57"/>
      <c r="K86" s="57"/>
    </row>
    <row r="87" spans="1:11" ht="15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5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M62" sqref="M62"/>
    </sheetView>
  </sheetViews>
  <sheetFormatPr defaultColWidth="9.00390625" defaultRowHeight="15.75"/>
  <cols>
    <col min="1" max="1" width="14.25390625" style="0" customWidth="1"/>
    <col min="2" max="2" width="13.50390625" style="0" customWidth="1"/>
    <col min="3" max="3" width="12.75390625" style="0" customWidth="1"/>
    <col min="5" max="5" width="16.625" style="0" customWidth="1"/>
    <col min="7" max="7" width="16.375" style="0" customWidth="1"/>
  </cols>
  <sheetData>
    <row r="1" ht="15.75">
      <c r="A1" s="37" t="s">
        <v>456</v>
      </c>
    </row>
    <row r="8" spans="1:6" ht="15.75">
      <c r="A8" s="37" t="s">
        <v>5</v>
      </c>
      <c r="F8" s="37" t="s">
        <v>8</v>
      </c>
    </row>
    <row r="9" spans="1:10" ht="19.5">
      <c r="A9" t="s">
        <v>329</v>
      </c>
      <c r="B9">
        <v>6000</v>
      </c>
      <c r="C9" t="s">
        <v>34</v>
      </c>
      <c r="D9" s="8">
        <f>B9/3600</f>
        <v>1.6666666666666667</v>
      </c>
      <c r="E9" t="s">
        <v>76</v>
      </c>
      <c r="F9" t="s">
        <v>330</v>
      </c>
      <c r="G9">
        <v>2000</v>
      </c>
      <c r="H9" t="s">
        <v>34</v>
      </c>
      <c r="I9" s="8">
        <f>G9/3600</f>
        <v>0.5555555555555556</v>
      </c>
      <c r="J9" t="s">
        <v>76</v>
      </c>
    </row>
    <row r="10" spans="1:7" ht="18.75">
      <c r="A10" t="s">
        <v>6</v>
      </c>
      <c r="B10" s="60">
        <v>0.4</v>
      </c>
      <c r="F10" t="s">
        <v>9</v>
      </c>
      <c r="G10" s="60">
        <v>0.6</v>
      </c>
    </row>
    <row r="11" spans="1:8" ht="18.75">
      <c r="A11" t="s">
        <v>7</v>
      </c>
      <c r="B11" s="3">
        <v>10</v>
      </c>
      <c r="C11" t="s">
        <v>92</v>
      </c>
      <c r="F11" t="s">
        <v>10</v>
      </c>
      <c r="G11">
        <v>35</v>
      </c>
      <c r="H11" t="s">
        <v>92</v>
      </c>
    </row>
    <row r="12" spans="1:7" ht="18.75">
      <c r="A12" t="s">
        <v>11</v>
      </c>
      <c r="B12" t="s">
        <v>14</v>
      </c>
      <c r="F12" t="s">
        <v>12</v>
      </c>
      <c r="G12" t="s">
        <v>14</v>
      </c>
    </row>
    <row r="15" spans="1:3" ht="15.75">
      <c r="A15" s="56" t="s">
        <v>86</v>
      </c>
      <c r="B15" s="57"/>
      <c r="C15" s="57"/>
    </row>
    <row r="16" spans="1:3" ht="18.75">
      <c r="A16" s="76" t="s">
        <v>424</v>
      </c>
      <c r="B16" s="57"/>
      <c r="C16" s="57"/>
    </row>
    <row r="17" spans="1:3" ht="15.75">
      <c r="A17" s="62" t="s">
        <v>402</v>
      </c>
      <c r="B17" s="57"/>
      <c r="C17" s="57"/>
    </row>
    <row r="19" spans="1:11" ht="15.75">
      <c r="A19" s="57" t="s">
        <v>403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19.5">
      <c r="A20" s="57" t="s">
        <v>332</v>
      </c>
      <c r="B20" s="88">
        <v>0.806</v>
      </c>
      <c r="C20" s="57" t="s">
        <v>333</v>
      </c>
      <c r="D20" s="63" t="s">
        <v>35</v>
      </c>
      <c r="E20" s="57"/>
      <c r="F20" s="61" t="s">
        <v>334</v>
      </c>
      <c r="G20" s="57" t="s">
        <v>335</v>
      </c>
      <c r="H20" s="57">
        <f>B9/3600/B20</f>
        <v>2.0678246484698097</v>
      </c>
      <c r="I20" s="57" t="s">
        <v>15</v>
      </c>
      <c r="J20" s="64">
        <f>H20</f>
        <v>2.0678246484698097</v>
      </c>
      <c r="K20" s="57" t="s">
        <v>15</v>
      </c>
    </row>
    <row r="21" spans="1:11" ht="15.75">
      <c r="A21" s="57"/>
      <c r="B21" s="57"/>
      <c r="C21" s="57"/>
      <c r="D21" s="57"/>
      <c r="E21" s="57"/>
      <c r="F21" s="57"/>
      <c r="G21" s="57"/>
      <c r="H21" s="57"/>
      <c r="I21" s="57"/>
      <c r="J21" s="63"/>
      <c r="K21" s="57"/>
    </row>
    <row r="22" spans="1:11" ht="15.75">
      <c r="A22" s="57" t="s">
        <v>403</v>
      </c>
      <c r="B22" s="57"/>
      <c r="C22" s="57"/>
      <c r="D22" s="57"/>
      <c r="E22" s="57"/>
      <c r="F22" s="57"/>
      <c r="G22" s="57"/>
      <c r="H22" s="57"/>
      <c r="I22" s="57"/>
      <c r="J22" s="63"/>
      <c r="K22" s="57"/>
    </row>
    <row r="23" spans="1:11" ht="19.5">
      <c r="A23" s="57" t="s">
        <v>336</v>
      </c>
      <c r="B23" s="88">
        <v>0.903</v>
      </c>
      <c r="C23" s="57" t="s">
        <v>333</v>
      </c>
      <c r="D23" s="63" t="s">
        <v>35</v>
      </c>
      <c r="E23" s="57"/>
      <c r="F23" s="61" t="s">
        <v>337</v>
      </c>
      <c r="G23" s="57" t="s">
        <v>338</v>
      </c>
      <c r="H23" s="57">
        <f>G9/3600/B23</f>
        <v>0.6152331733727082</v>
      </c>
      <c r="I23" s="57" t="s">
        <v>15</v>
      </c>
      <c r="J23" s="64">
        <f>H23</f>
        <v>0.6152331733727082</v>
      </c>
      <c r="K23" s="57" t="s">
        <v>15</v>
      </c>
    </row>
    <row r="24" spans="1:11" ht="15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spans="1:11" ht="18.75">
      <c r="A25" s="61" t="s">
        <v>334</v>
      </c>
      <c r="B25" s="64">
        <f>J20</f>
        <v>2.0678246484698097</v>
      </c>
      <c r="C25" s="57" t="s">
        <v>15</v>
      </c>
      <c r="D25" s="57"/>
      <c r="E25" s="57"/>
      <c r="F25" s="57"/>
      <c r="G25" s="57"/>
      <c r="H25" s="57"/>
      <c r="I25" s="57"/>
      <c r="J25" s="57"/>
      <c r="K25" s="57"/>
    </row>
    <row r="26" spans="1:11" ht="18.75">
      <c r="A26" s="61" t="s">
        <v>337</v>
      </c>
      <c r="B26" s="64">
        <f>J23</f>
        <v>0.6152331733727082</v>
      </c>
      <c r="C26" s="57" t="s">
        <v>15</v>
      </c>
      <c r="D26" s="57"/>
      <c r="E26" s="57"/>
      <c r="F26" s="57"/>
      <c r="G26" s="57"/>
      <c r="H26" s="57"/>
      <c r="I26" s="57"/>
      <c r="J26" s="57"/>
      <c r="K26" s="57"/>
    </row>
    <row r="29" spans="1:6" ht="15.75">
      <c r="A29" s="57" t="s">
        <v>44</v>
      </c>
      <c r="B29" s="57"/>
      <c r="C29" s="57"/>
      <c r="D29" s="57"/>
      <c r="E29" s="57"/>
      <c r="F29" s="57"/>
    </row>
    <row r="30" spans="1:6" ht="18.75">
      <c r="A30" s="57" t="s">
        <v>339</v>
      </c>
      <c r="B30" s="57">
        <v>3</v>
      </c>
      <c r="C30" s="57" t="s">
        <v>23</v>
      </c>
      <c r="D30" s="57"/>
      <c r="E30" s="57"/>
      <c r="F30" s="57"/>
    </row>
    <row r="31" spans="1:6" ht="18.75">
      <c r="A31" s="57" t="s">
        <v>340</v>
      </c>
      <c r="B31" s="57">
        <v>21.5</v>
      </c>
      <c r="C31" s="57" t="s">
        <v>23</v>
      </c>
      <c r="D31" s="57"/>
      <c r="E31" s="57"/>
      <c r="F31" s="57"/>
    </row>
    <row r="32" spans="1:6" ht="15.75">
      <c r="A32" s="57" t="s">
        <v>45</v>
      </c>
      <c r="B32" s="57"/>
      <c r="C32" s="57"/>
      <c r="D32" s="57"/>
      <c r="E32" s="57"/>
      <c r="F32" s="63"/>
    </row>
    <row r="33" spans="1:6" ht="18.75">
      <c r="A33" s="57" t="s">
        <v>341</v>
      </c>
      <c r="B33" s="57">
        <v>18</v>
      </c>
      <c r="C33" s="57" t="s">
        <v>24</v>
      </c>
      <c r="D33" s="57"/>
      <c r="E33" s="57"/>
      <c r="F33" s="57"/>
    </row>
    <row r="34" spans="1:6" ht="18.75">
      <c r="A34" s="57" t="s">
        <v>342</v>
      </c>
      <c r="B34" s="57">
        <v>90.5</v>
      </c>
      <c r="C34" s="57" t="s">
        <v>24</v>
      </c>
      <c r="D34" s="57"/>
      <c r="E34" s="57"/>
      <c r="F34" s="57"/>
    </row>
    <row r="35" spans="1:6" ht="15.75">
      <c r="A35" s="57"/>
      <c r="B35" s="57"/>
      <c r="C35" s="57"/>
      <c r="D35" s="57"/>
      <c r="E35" s="57"/>
      <c r="F35" s="57"/>
    </row>
    <row r="36" spans="1:6" ht="15.75">
      <c r="A36" s="66" t="s">
        <v>242</v>
      </c>
      <c r="B36" s="66"/>
      <c r="C36" s="66"/>
      <c r="D36" s="66"/>
      <c r="E36" s="57"/>
      <c r="F36" s="57"/>
    </row>
    <row r="37" spans="1:7" ht="18.75">
      <c r="A37" s="66" t="s">
        <v>404</v>
      </c>
      <c r="B37" s="66"/>
      <c r="C37" s="67">
        <f>1.01*10+B30/1000*(2500+1.8*10)</f>
        <v>17.654</v>
      </c>
      <c r="D37" s="66" t="s">
        <v>24</v>
      </c>
      <c r="G37">
        <f>1.01*16+J46/1000*(2500+1.8*16)</f>
        <v>34.47383578947368</v>
      </c>
    </row>
    <row r="38" spans="1:4" ht="18.75">
      <c r="A38" s="66" t="s">
        <v>405</v>
      </c>
      <c r="B38" s="66"/>
      <c r="C38" s="67">
        <f>1.01*35+B31/1000*(2500+1.8*35)</f>
        <v>90.4545</v>
      </c>
      <c r="D38" s="66" t="s">
        <v>24</v>
      </c>
    </row>
    <row r="39" ht="15.75">
      <c r="E39">
        <f>0.829*H45</f>
        <v>2.224254934307447</v>
      </c>
    </row>
    <row r="40" ht="15.75">
      <c r="E40">
        <f>E39*3600</f>
        <v>8007.31776350681</v>
      </c>
    </row>
    <row r="41" spans="1:11" ht="15.75">
      <c r="A41" s="57" t="s">
        <v>311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1:11" ht="15.75">
      <c r="A42" s="57" t="s">
        <v>406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</row>
    <row r="43" spans="1:11" ht="15.75">
      <c r="A43" s="57" t="s">
        <v>407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5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8.75">
      <c r="A45" s="57" t="s">
        <v>25</v>
      </c>
      <c r="B45" s="57"/>
      <c r="C45" s="57"/>
      <c r="D45" s="57" t="s">
        <v>347</v>
      </c>
      <c r="E45" s="57"/>
      <c r="F45" s="57" t="s">
        <v>348</v>
      </c>
      <c r="G45" s="57"/>
      <c r="H45" s="58">
        <f>B25+B26</f>
        <v>2.683057821842518</v>
      </c>
      <c r="I45" s="57" t="s">
        <v>15</v>
      </c>
      <c r="J45" s="57"/>
      <c r="K45" s="57"/>
    </row>
    <row r="46" spans="1:11" ht="18.75">
      <c r="A46" s="62" t="s">
        <v>27</v>
      </c>
      <c r="B46" s="57"/>
      <c r="C46" s="57"/>
      <c r="D46" s="57" t="s">
        <v>349</v>
      </c>
      <c r="E46" s="57"/>
      <c r="F46" s="57" t="s">
        <v>350</v>
      </c>
      <c r="G46" s="57"/>
      <c r="H46" s="58">
        <f>(B25*B30+B26*B31)/H45</f>
        <v>7.242105263157895</v>
      </c>
      <c r="I46" s="57" t="s">
        <v>23</v>
      </c>
      <c r="J46" s="68">
        <f>H46</f>
        <v>7.242105263157895</v>
      </c>
      <c r="K46" s="57" t="s">
        <v>23</v>
      </c>
    </row>
    <row r="47" spans="1:11" ht="18.75">
      <c r="A47" s="57" t="s">
        <v>26</v>
      </c>
      <c r="B47" s="57"/>
      <c r="C47" s="57"/>
      <c r="D47" s="57" t="s">
        <v>351</v>
      </c>
      <c r="E47" s="57"/>
      <c r="F47" s="62" t="s">
        <v>352</v>
      </c>
      <c r="G47" s="57"/>
      <c r="H47" s="58">
        <f>(C37*B25+B26*C38)/H45</f>
        <v>34.34737211948791</v>
      </c>
      <c r="I47" s="57" t="s">
        <v>24</v>
      </c>
      <c r="J47" s="92">
        <f>H47</f>
        <v>34.34737211948791</v>
      </c>
      <c r="K47" s="57" t="s">
        <v>24</v>
      </c>
    </row>
    <row r="48" spans="1:11" ht="15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 ht="15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8.75">
      <c r="A50" s="57" t="s">
        <v>408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ht="18.75">
      <c r="A51" s="57" t="s">
        <v>355</v>
      </c>
      <c r="B51" s="89">
        <v>16.5</v>
      </c>
      <c r="C51" s="57"/>
      <c r="D51" s="57"/>
      <c r="E51" s="57"/>
      <c r="F51" s="57"/>
      <c r="G51" s="57"/>
      <c r="H51" s="57"/>
      <c r="I51" s="57"/>
      <c r="J51" s="57"/>
      <c r="K51" s="57"/>
    </row>
    <row r="52" spans="1:11" ht="15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 ht="15.75">
      <c r="A53" s="57" t="s">
        <v>409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 ht="15.75">
      <c r="A54" s="57" t="s">
        <v>48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5.75">
      <c r="A55" s="89" t="s">
        <v>437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1" ht="15.75">
      <c r="A56" s="89" t="s">
        <v>69</v>
      </c>
      <c r="B56" s="57">
        <f>B51+10</f>
        <v>26.5</v>
      </c>
      <c r="C56" s="57"/>
      <c r="D56" s="57"/>
      <c r="E56" s="57"/>
      <c r="F56" s="57"/>
      <c r="G56" s="57"/>
      <c r="H56" s="57"/>
      <c r="I56" s="57"/>
      <c r="J56" s="57"/>
      <c r="K56" s="57"/>
    </row>
    <row r="57" spans="1:11" ht="15.75">
      <c r="A57" s="57" t="s">
        <v>411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5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spans="1:11" ht="18.75">
      <c r="A59" s="57" t="s">
        <v>412</v>
      </c>
      <c r="B59" s="57" t="s">
        <v>56</v>
      </c>
      <c r="C59" s="57"/>
      <c r="D59" s="57" t="s">
        <v>413</v>
      </c>
      <c r="E59" s="57" t="s">
        <v>64</v>
      </c>
      <c r="F59" s="61" t="s">
        <v>413</v>
      </c>
      <c r="G59" s="57">
        <f>H45</f>
        <v>2.683057821842518</v>
      </c>
      <c r="H59" s="57" t="s">
        <v>15</v>
      </c>
      <c r="I59" s="57"/>
      <c r="J59" s="57"/>
      <c r="K59" s="57"/>
    </row>
    <row r="60" spans="1:11" ht="15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1:11" ht="18.75">
      <c r="A61" s="57" t="s">
        <v>414</v>
      </c>
      <c r="B61" s="61" t="s">
        <v>52</v>
      </c>
      <c r="C61" s="57" t="s">
        <v>415</v>
      </c>
      <c r="D61" s="57"/>
      <c r="E61" s="57"/>
      <c r="F61" s="61" t="s">
        <v>416</v>
      </c>
      <c r="G61" s="58">
        <f>J46</f>
        <v>7.242105263157895</v>
      </c>
      <c r="H61" s="57" t="s">
        <v>23</v>
      </c>
      <c r="I61" s="57"/>
      <c r="J61" s="57"/>
      <c r="K61" s="57"/>
    </row>
    <row r="62" spans="1:11" ht="15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8.75">
      <c r="A63" s="57" t="s">
        <v>417</v>
      </c>
      <c r="B63" s="61" t="s">
        <v>52</v>
      </c>
      <c r="C63" s="57" t="s">
        <v>418</v>
      </c>
      <c r="D63" s="57"/>
      <c r="E63" s="57"/>
      <c r="F63" s="57"/>
      <c r="G63" s="57"/>
      <c r="H63" s="57"/>
      <c r="I63" s="57"/>
      <c r="J63" s="57"/>
      <c r="K63" s="57"/>
    </row>
    <row r="64" spans="1:11" ht="15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5.75">
      <c r="A65" s="57" t="s">
        <v>58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5.75">
      <c r="A66" s="57"/>
      <c r="B66" s="57"/>
      <c r="C66" s="57"/>
      <c r="D66" s="70" t="s">
        <v>60</v>
      </c>
      <c r="E66" s="71"/>
      <c r="F66" s="71"/>
      <c r="G66" s="71"/>
      <c r="H66" s="71"/>
      <c r="I66" s="71"/>
      <c r="J66" s="72"/>
      <c r="K66" s="57"/>
    </row>
    <row r="67" spans="1:11" ht="18.75">
      <c r="A67" s="57" t="s">
        <v>419</v>
      </c>
      <c r="B67" s="89" t="s">
        <v>438</v>
      </c>
      <c r="C67" s="57" t="s">
        <v>24</v>
      </c>
      <c r="D67" s="73" t="s">
        <v>420</v>
      </c>
      <c r="E67" s="74"/>
      <c r="F67" s="74">
        <f>1.01*B56+G61/1000*(2500+1.805*B56)</f>
        <v>45.21667115789474</v>
      </c>
      <c r="G67" s="74" t="s">
        <v>24</v>
      </c>
      <c r="H67" s="74" t="s">
        <v>62</v>
      </c>
      <c r="I67" s="74"/>
      <c r="J67" s="75"/>
      <c r="K67" s="57"/>
    </row>
    <row r="68" spans="1:11" ht="15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5.75">
      <c r="A69" s="57" t="s">
        <v>63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5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8.75">
      <c r="A71" s="57" t="s">
        <v>418</v>
      </c>
      <c r="B71" s="58">
        <f>H45*(F67-J47)</f>
        <v>29.162957802942802</v>
      </c>
      <c r="C71" s="57" t="s">
        <v>66</v>
      </c>
      <c r="D71" s="57"/>
      <c r="E71" s="57"/>
      <c r="F71" s="57"/>
      <c r="G71" s="57"/>
      <c r="H71" s="57"/>
      <c r="I71" s="57"/>
      <c r="J71" s="57"/>
      <c r="K71" s="57"/>
    </row>
    <row r="72" spans="1:11" ht="15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5.75">
      <c r="A73" s="57" t="s">
        <v>421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5.75">
      <c r="A74" s="57" t="s">
        <v>68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5.75">
      <c r="A75" s="57" t="s">
        <v>138</v>
      </c>
      <c r="B75" s="57">
        <v>8.6</v>
      </c>
      <c r="C75" s="57" t="s">
        <v>92</v>
      </c>
      <c r="D75" s="57"/>
      <c r="E75" s="57"/>
      <c r="F75" s="57"/>
      <c r="G75" s="57"/>
      <c r="H75" s="57"/>
      <c r="I75" s="57"/>
      <c r="J75" s="57"/>
      <c r="K75" s="57"/>
    </row>
    <row r="76" spans="1:11" ht="15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5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5.75">
      <c r="A78" t="s">
        <v>258</v>
      </c>
      <c r="D78" s="57"/>
      <c r="E78" s="57"/>
      <c r="F78" s="57"/>
      <c r="G78" s="57"/>
      <c r="H78" s="57"/>
      <c r="I78" s="57"/>
      <c r="J78" s="57"/>
      <c r="K78" s="57"/>
    </row>
    <row r="79" spans="1:11" ht="15.75">
      <c r="A79" t="s">
        <v>422</v>
      </c>
      <c r="C79" s="54"/>
      <c r="D79" s="8"/>
      <c r="E79" s="57"/>
      <c r="F79" s="57"/>
      <c r="G79" s="57"/>
      <c r="H79" s="57"/>
      <c r="I79" s="57"/>
      <c r="J79" s="57"/>
      <c r="K79" s="57"/>
    </row>
    <row r="80" spans="1:11" ht="17.25">
      <c r="A80" s="55" t="s">
        <v>108</v>
      </c>
      <c r="B80" t="s">
        <v>386</v>
      </c>
      <c r="C80">
        <v>0</v>
      </c>
      <c r="D80" s="8"/>
      <c r="E80" s="57"/>
      <c r="F80" s="57"/>
      <c r="G80" s="57"/>
      <c r="H80" s="57"/>
      <c r="I80" s="57"/>
      <c r="J80" s="57"/>
      <c r="K80" s="57"/>
    </row>
    <row r="81" spans="1:11" ht="15.75">
      <c r="A81" s="5"/>
      <c r="E81" s="57"/>
      <c r="F81" s="57"/>
      <c r="G81" s="57"/>
      <c r="H81" s="57"/>
      <c r="I81" s="57"/>
      <c r="J81" s="57"/>
      <c r="K81" s="57"/>
    </row>
    <row r="82" spans="1:11" ht="15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5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7"/>
  <sheetViews>
    <sheetView zoomScale="110" zoomScaleNormal="110" zoomScalePageLayoutView="0" workbookViewId="0" topLeftCell="A44">
      <selection activeCell="D57" sqref="D57"/>
    </sheetView>
  </sheetViews>
  <sheetFormatPr defaultColWidth="9.00390625" defaultRowHeight="15.75"/>
  <cols>
    <col min="1" max="1" width="38.00390625" style="0" customWidth="1"/>
    <col min="2" max="2" width="14.375" style="0" customWidth="1"/>
    <col min="3" max="3" width="15.50390625" style="0" customWidth="1"/>
    <col min="6" max="6" width="11.75390625" style="0" customWidth="1"/>
  </cols>
  <sheetData>
    <row r="1" ht="15.75">
      <c r="A1" s="37" t="s">
        <v>131</v>
      </c>
    </row>
    <row r="3" ht="18">
      <c r="A3" t="s">
        <v>455</v>
      </c>
    </row>
    <row r="4" ht="15.75">
      <c r="A4" t="s">
        <v>425</v>
      </c>
    </row>
    <row r="5" ht="15.75">
      <c r="A5" t="s">
        <v>426</v>
      </c>
    </row>
    <row r="6" ht="15.75">
      <c r="A6" t="s">
        <v>427</v>
      </c>
    </row>
    <row r="9" ht="15.75">
      <c r="A9" s="37" t="s">
        <v>155</v>
      </c>
    </row>
    <row r="10" spans="1:5" ht="19.5">
      <c r="A10" t="s">
        <v>36</v>
      </c>
      <c r="B10">
        <v>5000</v>
      </c>
      <c r="C10" t="s">
        <v>34</v>
      </c>
      <c r="D10" s="8">
        <f>B10/3600</f>
        <v>1.3888888888888888</v>
      </c>
      <c r="E10" t="s">
        <v>76</v>
      </c>
    </row>
    <row r="11" spans="1:2" ht="18.75">
      <c r="A11" t="s">
        <v>6</v>
      </c>
      <c r="B11" s="1">
        <v>0.6</v>
      </c>
    </row>
    <row r="12" spans="1:2" ht="18.75">
      <c r="A12" t="s">
        <v>7</v>
      </c>
      <c r="B12" s="3">
        <v>10</v>
      </c>
    </row>
    <row r="13" spans="1:2" ht="18.75">
      <c r="A13" t="s">
        <v>11</v>
      </c>
      <c r="B13" t="s">
        <v>14</v>
      </c>
    </row>
    <row r="14" spans="1:2" ht="18.75">
      <c r="A14" t="s">
        <v>10</v>
      </c>
      <c r="B14">
        <v>25</v>
      </c>
    </row>
    <row r="15" spans="1:3" ht="18.75">
      <c r="A15" t="s">
        <v>158</v>
      </c>
      <c r="B15">
        <v>80</v>
      </c>
      <c r="C15" t="s">
        <v>92</v>
      </c>
    </row>
    <row r="16" spans="1:2" ht="18.75">
      <c r="A16" t="s">
        <v>136</v>
      </c>
      <c r="B16" s="1">
        <v>0.7</v>
      </c>
    </row>
    <row r="17" ht="15.75">
      <c r="A17" s="37" t="s">
        <v>267</v>
      </c>
    </row>
    <row r="18" spans="1:2" ht="15.75">
      <c r="A18" t="s">
        <v>428</v>
      </c>
      <c r="B18" t="s">
        <v>157</v>
      </c>
    </row>
    <row r="19" spans="1:2" ht="18.75">
      <c r="A19" t="s">
        <v>265</v>
      </c>
      <c r="B19" s="5" t="s">
        <v>87</v>
      </c>
    </row>
    <row r="22" ht="15.75">
      <c r="A22" t="s">
        <v>429</v>
      </c>
    </row>
    <row r="23" spans="1:3" ht="19.5">
      <c r="A23" t="s">
        <v>11</v>
      </c>
      <c r="B23" s="52">
        <f>0.808</f>
        <v>0.808</v>
      </c>
      <c r="C23" t="s">
        <v>16</v>
      </c>
    </row>
    <row r="24" spans="1:8" ht="15.75">
      <c r="A24" s="5" t="s">
        <v>35</v>
      </c>
      <c r="H24" s="8"/>
    </row>
    <row r="25" spans="1:8" ht="18.75">
      <c r="A25" s="3" t="s">
        <v>38</v>
      </c>
      <c r="B25" t="s">
        <v>39</v>
      </c>
      <c r="E25" s="8"/>
      <c r="H25" s="8"/>
    </row>
    <row r="26" spans="1:8" ht="15.75">
      <c r="A26" s="5"/>
      <c r="B26" s="3"/>
      <c r="E26" s="8"/>
      <c r="H26" s="8"/>
    </row>
    <row r="27" spans="1:3" ht="18.75">
      <c r="A27" s="3" t="s">
        <v>38</v>
      </c>
      <c r="B27" s="18">
        <f>D10/B23</f>
        <v>1.7189218921892186</v>
      </c>
      <c r="C27" t="s">
        <v>15</v>
      </c>
    </row>
    <row r="29" ht="15.75">
      <c r="A29" t="s">
        <v>159</v>
      </c>
    </row>
    <row r="30" spans="1:7" ht="18.75">
      <c r="A30" t="s">
        <v>18</v>
      </c>
      <c r="B30">
        <v>4.55</v>
      </c>
      <c r="C30" t="s">
        <v>23</v>
      </c>
      <c r="E30" s="66" t="s">
        <v>404</v>
      </c>
      <c r="G30">
        <f>1.01*B12+B30/1000*(2500+1.8*B12)</f>
        <v>21.5569</v>
      </c>
    </row>
    <row r="31" spans="1:7" ht="18.75">
      <c r="A31" t="s">
        <v>160</v>
      </c>
      <c r="B31">
        <f>B30</f>
        <v>4.55</v>
      </c>
      <c r="C31" t="s">
        <v>23</v>
      </c>
      <c r="E31" s="87" t="s">
        <v>405</v>
      </c>
      <c r="G31">
        <f>1.01*B14+B31/1000*(2500+1.8*B14)</f>
        <v>36.829750000000004</v>
      </c>
    </row>
    <row r="33" spans="1:6" ht="15.75">
      <c r="A33" t="s">
        <v>45</v>
      </c>
      <c r="F33" s="5"/>
    </row>
    <row r="34" spans="1:3" ht="18.75">
      <c r="A34" t="s">
        <v>21</v>
      </c>
      <c r="B34">
        <v>21.5</v>
      </c>
      <c r="C34" t="s">
        <v>24</v>
      </c>
    </row>
    <row r="35" spans="1:3" ht="18.75">
      <c r="A35" t="s">
        <v>22</v>
      </c>
      <c r="B35">
        <v>37</v>
      </c>
      <c r="C35" t="s">
        <v>24</v>
      </c>
    </row>
    <row r="37" ht="15.75">
      <c r="A37" t="s">
        <v>161</v>
      </c>
    </row>
    <row r="39" ht="18.75">
      <c r="A39" t="s">
        <v>162</v>
      </c>
    </row>
    <row r="40" spans="1:6" ht="18.75">
      <c r="A40" s="23" t="s">
        <v>163</v>
      </c>
      <c r="B40" t="s">
        <v>164</v>
      </c>
      <c r="D40" t="s">
        <v>167</v>
      </c>
      <c r="E40" s="5">
        <f>B31</f>
        <v>4.55</v>
      </c>
      <c r="F40" t="s">
        <v>23</v>
      </c>
    </row>
    <row r="41" spans="1:7" ht="18.75">
      <c r="A41" s="23" t="s">
        <v>165</v>
      </c>
      <c r="B41" t="s">
        <v>444</v>
      </c>
      <c r="D41" s="4" t="s">
        <v>434</v>
      </c>
      <c r="E41" s="5">
        <f>B35</f>
        <v>37</v>
      </c>
      <c r="F41" t="s">
        <v>24</v>
      </c>
      <c r="G41" s="87"/>
    </row>
    <row r="42" ht="15.75">
      <c r="E42" s="5"/>
    </row>
    <row r="43" spans="1:10" ht="15.75">
      <c r="A43" s="78" t="s">
        <v>435</v>
      </c>
      <c r="B43" s="77"/>
      <c r="C43" s="77"/>
      <c r="D43" s="77"/>
      <c r="E43" s="79"/>
      <c r="F43" s="77"/>
      <c r="G43" s="77"/>
      <c r="H43" s="77"/>
      <c r="I43" s="77"/>
      <c r="J43" s="77"/>
    </row>
    <row r="44" spans="1:10" ht="18.75">
      <c r="A44" s="78" t="s">
        <v>447</v>
      </c>
      <c r="B44" s="77"/>
      <c r="C44" s="77"/>
      <c r="D44" s="77"/>
      <c r="E44" s="79"/>
      <c r="F44" s="77"/>
      <c r="G44" s="77"/>
      <c r="H44" s="77"/>
      <c r="I44" s="77"/>
      <c r="J44" s="77"/>
    </row>
    <row r="45" spans="1:10" ht="15.75">
      <c r="A45" s="78" t="s">
        <v>173</v>
      </c>
      <c r="B45" s="77"/>
      <c r="C45" s="77"/>
      <c r="D45" s="77"/>
      <c r="E45" s="79"/>
      <c r="F45" s="77"/>
      <c r="G45" s="77"/>
      <c r="H45" s="77"/>
      <c r="I45" s="77"/>
      <c r="J45" s="77"/>
    </row>
    <row r="46" spans="1:10" ht="18.75">
      <c r="A46" s="77" t="s">
        <v>145</v>
      </c>
      <c r="B46" s="77">
        <v>8</v>
      </c>
      <c r="C46" s="77" t="s">
        <v>23</v>
      </c>
      <c r="D46" s="77"/>
      <c r="E46" s="79"/>
      <c r="F46" s="77"/>
      <c r="G46" s="77"/>
      <c r="H46" s="77"/>
      <c r="I46" s="77"/>
      <c r="J46" s="77"/>
    </row>
    <row r="47" spans="1:10" ht="15.75">
      <c r="A47" s="96" t="s">
        <v>170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0" ht="15.75">
      <c r="A48" s="80"/>
      <c r="B48" s="81"/>
      <c r="C48" s="81"/>
      <c r="D48" s="81"/>
      <c r="E48" s="81"/>
      <c r="F48" s="81"/>
      <c r="G48" s="81"/>
      <c r="H48" s="81"/>
      <c r="I48" s="81"/>
      <c r="J48" s="81"/>
    </row>
    <row r="49" spans="1:10" ht="18.75">
      <c r="A49" s="77" t="s">
        <v>433</v>
      </c>
      <c r="B49" s="77"/>
      <c r="C49" s="77"/>
      <c r="D49" s="79" t="s">
        <v>100</v>
      </c>
      <c r="E49" s="77">
        <v>313.74</v>
      </c>
      <c r="F49" s="77" t="s">
        <v>24</v>
      </c>
      <c r="G49" s="77"/>
      <c r="H49" s="77"/>
      <c r="I49" s="77"/>
      <c r="J49" s="77"/>
    </row>
    <row r="50" spans="1:10" ht="15.75">
      <c r="A50" s="78"/>
      <c r="B50" s="77"/>
      <c r="C50" s="77"/>
      <c r="D50" s="82"/>
      <c r="E50" s="79"/>
      <c r="F50" s="77"/>
      <c r="G50" s="77"/>
      <c r="H50" s="77"/>
      <c r="I50" s="77"/>
      <c r="J50" s="77"/>
    </row>
    <row r="51" spans="1:10" ht="15.75">
      <c r="A51" s="77" t="s">
        <v>117</v>
      </c>
      <c r="B51" s="77"/>
      <c r="C51" s="77"/>
      <c r="D51" s="77"/>
      <c r="E51" s="77"/>
      <c r="F51" s="77"/>
      <c r="G51" s="77"/>
      <c r="H51" s="77"/>
      <c r="I51" s="77"/>
      <c r="J51" s="77"/>
    </row>
    <row r="52" spans="1:10" ht="15.75">
      <c r="A52" s="77"/>
      <c r="B52" s="77"/>
      <c r="C52" s="77"/>
      <c r="D52" s="77"/>
      <c r="E52" s="77"/>
      <c r="F52" s="77"/>
      <c r="G52" s="77"/>
      <c r="H52" s="77"/>
      <c r="I52" s="77"/>
      <c r="J52" s="77"/>
    </row>
    <row r="53" spans="1:10" ht="18.75">
      <c r="A53" s="77" t="s">
        <v>54</v>
      </c>
      <c r="B53" s="77" t="s">
        <v>56</v>
      </c>
      <c r="C53" s="77"/>
      <c r="D53" s="77" t="s">
        <v>55</v>
      </c>
      <c r="E53" s="77"/>
      <c r="F53" s="83"/>
      <c r="G53" s="84"/>
      <c r="H53" s="77"/>
      <c r="I53" s="77"/>
      <c r="J53" s="77"/>
    </row>
    <row r="54" spans="1:10" ht="15.75">
      <c r="A54" s="77"/>
      <c r="B54" s="77"/>
      <c r="C54" s="77"/>
      <c r="D54" s="77"/>
      <c r="E54" s="77"/>
      <c r="F54" s="77"/>
      <c r="G54" s="77"/>
      <c r="H54" s="77"/>
      <c r="I54" s="77"/>
      <c r="J54" s="77"/>
    </row>
    <row r="55" spans="1:10" ht="18.75">
      <c r="A55" s="77" t="s">
        <v>118</v>
      </c>
      <c r="B55" s="83" t="s">
        <v>52</v>
      </c>
      <c r="C55" s="77" t="s">
        <v>436</v>
      </c>
      <c r="D55" s="85">
        <f>B27*(B46-E40)/1000</f>
        <v>0.005930280528052805</v>
      </c>
      <c r="E55" s="77" t="s">
        <v>15</v>
      </c>
      <c r="F55" s="83"/>
      <c r="G55" s="77"/>
      <c r="H55" s="77"/>
      <c r="I55" s="77"/>
      <c r="J55" s="77"/>
    </row>
    <row r="56" spans="1:10" ht="15.75">
      <c r="A56" s="77"/>
      <c r="B56" s="77"/>
      <c r="C56" s="77"/>
      <c r="D56" s="77"/>
      <c r="E56" s="77"/>
      <c r="F56" s="77"/>
      <c r="G56" s="77"/>
      <c r="H56" s="77"/>
      <c r="I56" s="77"/>
      <c r="J56" s="77"/>
    </row>
    <row r="57" spans="1:10" ht="18.75">
      <c r="A57" s="77" t="s">
        <v>174</v>
      </c>
      <c r="B57" s="83" t="s">
        <v>52</v>
      </c>
      <c r="C57" s="77" t="s">
        <v>319</v>
      </c>
      <c r="D57" s="84">
        <f>B27*(E41-B34)</f>
        <v>26.643289328932887</v>
      </c>
      <c r="E57" s="77" t="s">
        <v>66</v>
      </c>
      <c r="F57" s="77"/>
      <c r="G57" s="77"/>
      <c r="H57" s="77"/>
      <c r="I57" s="77"/>
      <c r="J57" s="77"/>
    </row>
    <row r="58" spans="1:10" ht="15.75">
      <c r="A58" s="77"/>
      <c r="B58" s="77"/>
      <c r="C58" s="77"/>
      <c r="D58" s="77"/>
      <c r="E58" s="77"/>
      <c r="F58" s="77"/>
      <c r="G58" s="77"/>
      <c r="H58" s="77"/>
      <c r="I58" s="77"/>
      <c r="J58" s="77"/>
    </row>
    <row r="59" spans="1:10" ht="15.75">
      <c r="A59" s="77" t="s">
        <v>308</v>
      </c>
      <c r="B59" s="77"/>
      <c r="C59" s="77"/>
      <c r="D59" s="77"/>
      <c r="E59" s="77"/>
      <c r="F59" s="77"/>
      <c r="G59" s="77"/>
      <c r="H59" s="77"/>
      <c r="I59" s="77"/>
      <c r="J59" s="77"/>
    </row>
    <row r="60" spans="1:10" ht="18.75">
      <c r="A60" s="77" t="s">
        <v>77</v>
      </c>
      <c r="B60" s="77">
        <v>13</v>
      </c>
      <c r="C60" s="77"/>
      <c r="D60" s="77"/>
      <c r="E60" s="77"/>
      <c r="F60" s="77"/>
      <c r="G60" s="77"/>
      <c r="H60" s="77"/>
      <c r="I60" s="77"/>
      <c r="J60" s="77"/>
    </row>
    <row r="61" spans="1:10" ht="15.75">
      <c r="A61" s="77"/>
      <c r="B61" s="77"/>
      <c r="C61" s="77"/>
      <c r="D61" s="77"/>
      <c r="E61" s="77"/>
      <c r="F61" s="77"/>
      <c r="G61" s="77"/>
      <c r="H61" s="77"/>
      <c r="I61" s="77"/>
      <c r="J61" s="77"/>
    </row>
    <row r="62" spans="1:10" ht="15.75">
      <c r="A62" s="77"/>
      <c r="B62" s="77"/>
      <c r="C62" s="77"/>
      <c r="D62" s="77"/>
      <c r="E62" s="77"/>
      <c r="F62" s="77"/>
      <c r="G62" s="77"/>
      <c r="H62" s="77"/>
      <c r="I62" s="77"/>
      <c r="J62" s="77"/>
    </row>
    <row r="63" spans="1:10" ht="15.75">
      <c r="A63" s="79" t="s">
        <v>248</v>
      </c>
      <c r="B63" s="77"/>
      <c r="C63" s="77"/>
      <c r="D63" s="77"/>
      <c r="E63" s="77"/>
      <c r="F63" s="77"/>
      <c r="G63" s="77"/>
      <c r="H63" s="77"/>
      <c r="I63" s="77"/>
      <c r="J63" s="77"/>
    </row>
    <row r="64" spans="1:10" ht="18.75">
      <c r="A64" s="79" t="s">
        <v>109</v>
      </c>
      <c r="B64" s="77" t="s">
        <v>279</v>
      </c>
      <c r="C64" s="84">
        <f>E41-B34</f>
        <v>15.5</v>
      </c>
      <c r="D64" s="77" t="s">
        <v>111</v>
      </c>
      <c r="E64" s="77"/>
      <c r="F64" s="77"/>
      <c r="G64" s="77"/>
      <c r="H64" s="77"/>
      <c r="I64" s="77"/>
      <c r="J64" s="77"/>
    </row>
    <row r="65" spans="1:10" ht="17.25">
      <c r="A65" s="86" t="s">
        <v>108</v>
      </c>
      <c r="B65" s="77" t="s">
        <v>278</v>
      </c>
      <c r="C65" s="84">
        <f>B46-B30</f>
        <v>3.45</v>
      </c>
      <c r="D65" s="77" t="s">
        <v>112</v>
      </c>
      <c r="E65" s="77"/>
      <c r="F65" s="77"/>
      <c r="G65" s="77"/>
      <c r="H65" s="77"/>
      <c r="I65" s="77"/>
      <c r="J65" s="77"/>
    </row>
    <row r="66" spans="1:10" ht="18.75">
      <c r="A66" s="79" t="s">
        <v>275</v>
      </c>
      <c r="B66" s="77" t="s">
        <v>280</v>
      </c>
      <c r="C66" s="84">
        <f>C64/C65</f>
        <v>4.492753623188405</v>
      </c>
      <c r="D66" s="77" t="s">
        <v>110</v>
      </c>
      <c r="E66" s="77"/>
      <c r="F66" s="77"/>
      <c r="G66" s="77"/>
      <c r="H66" s="77"/>
      <c r="I66" s="77"/>
      <c r="J66" s="77"/>
    </row>
    <row r="67" spans="1:10" ht="15.75">
      <c r="A67" s="77"/>
      <c r="B67" s="77"/>
      <c r="C67" s="77"/>
      <c r="D67" s="77"/>
      <c r="E67" s="77"/>
      <c r="F67" s="77"/>
      <c r="G67" s="77"/>
      <c r="H67" s="77"/>
      <c r="I67" s="77"/>
      <c r="J67" s="77"/>
    </row>
  </sheetData>
  <sheetProtection/>
  <mergeCells count="1">
    <mergeCell ref="A47:J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1"/>
  <sheetViews>
    <sheetView zoomScale="96" zoomScaleNormal="96" zoomScalePageLayoutView="0" workbookViewId="0" topLeftCell="A43">
      <selection activeCell="K49" sqref="K49"/>
    </sheetView>
  </sheetViews>
  <sheetFormatPr defaultColWidth="9.00390625" defaultRowHeight="15.75"/>
  <cols>
    <col min="1" max="1" width="17.50390625" style="0" customWidth="1"/>
    <col min="3" max="3" width="19.875" style="0" customWidth="1"/>
    <col min="4" max="4" width="9.625" style="0" customWidth="1"/>
    <col min="6" max="6" width="12.00390625" style="0" customWidth="1"/>
  </cols>
  <sheetData>
    <row r="1" ht="15.75">
      <c r="A1" t="s">
        <v>439</v>
      </c>
    </row>
    <row r="2" ht="15.75">
      <c r="A2" t="s">
        <v>440</v>
      </c>
    </row>
    <row r="3" ht="15.75">
      <c r="A3" t="s">
        <v>426</v>
      </c>
    </row>
    <row r="4" ht="15.75">
      <c r="A4" t="s">
        <v>441</v>
      </c>
    </row>
    <row r="6" ht="15.75">
      <c r="A6" s="37" t="s">
        <v>155</v>
      </c>
    </row>
    <row r="7" spans="1:5" ht="19.5">
      <c r="A7" t="s">
        <v>36</v>
      </c>
      <c r="B7">
        <v>3500</v>
      </c>
      <c r="C7" t="s">
        <v>34</v>
      </c>
      <c r="D7" s="8">
        <f>B7/3600</f>
        <v>0.9722222222222222</v>
      </c>
      <c r="E7" t="s">
        <v>76</v>
      </c>
    </row>
    <row r="8" spans="1:2" ht="18.75">
      <c r="A8" t="s">
        <v>6</v>
      </c>
      <c r="B8" s="1">
        <v>0.7</v>
      </c>
    </row>
    <row r="9" spans="1:2" ht="18.75">
      <c r="A9" t="s">
        <v>7</v>
      </c>
      <c r="B9" s="3">
        <v>5</v>
      </c>
    </row>
    <row r="10" spans="1:2" ht="18.75">
      <c r="A10" t="s">
        <v>11</v>
      </c>
      <c r="B10" t="s">
        <v>14</v>
      </c>
    </row>
    <row r="11" spans="1:2" ht="18.75">
      <c r="A11" t="s">
        <v>10</v>
      </c>
      <c r="B11">
        <v>18</v>
      </c>
    </row>
    <row r="12" spans="1:3" ht="18.75">
      <c r="A12" t="s">
        <v>158</v>
      </c>
      <c r="B12">
        <v>110</v>
      </c>
      <c r="C12" t="s">
        <v>92</v>
      </c>
    </row>
    <row r="13" spans="1:3" ht="15.75">
      <c r="A13" t="s">
        <v>442</v>
      </c>
      <c r="B13" s="21">
        <v>6.4</v>
      </c>
      <c r="C13" t="s">
        <v>452</v>
      </c>
    </row>
    <row r="16" ht="15.75">
      <c r="A16" t="s">
        <v>443</v>
      </c>
    </row>
    <row r="17" spans="1:3" ht="19.5">
      <c r="A17" t="s">
        <v>11</v>
      </c>
      <c r="B17" s="52">
        <f>0.793</f>
        <v>0.793</v>
      </c>
      <c r="C17" t="s">
        <v>16</v>
      </c>
    </row>
    <row r="18" spans="1:8" ht="15.75">
      <c r="A18" s="5" t="s">
        <v>35</v>
      </c>
      <c r="H18" s="8"/>
    </row>
    <row r="19" spans="1:8" ht="18.75">
      <c r="A19" s="3" t="s">
        <v>38</v>
      </c>
      <c r="B19" t="s">
        <v>39</v>
      </c>
      <c r="E19" s="8"/>
      <c r="H19" s="8"/>
    </row>
    <row r="20" spans="1:8" ht="15.75">
      <c r="A20" s="5"/>
      <c r="B20" s="3"/>
      <c r="E20" s="8"/>
      <c r="H20" s="8"/>
    </row>
    <row r="21" spans="1:3" ht="18.75">
      <c r="A21" s="3" t="s">
        <v>38</v>
      </c>
      <c r="B21" s="90">
        <f>D7/B17</f>
        <v>1.22600532436598</v>
      </c>
      <c r="C21" t="s">
        <v>15</v>
      </c>
    </row>
    <row r="23" ht="15.75">
      <c r="A23" t="s">
        <v>159</v>
      </c>
    </row>
    <row r="24" spans="1:7" ht="18.75">
      <c r="A24" t="s">
        <v>18</v>
      </c>
      <c r="B24">
        <v>3.8</v>
      </c>
      <c r="C24" t="s">
        <v>23</v>
      </c>
      <c r="E24" s="66" t="s">
        <v>404</v>
      </c>
      <c r="G24">
        <f>1.01*B9+B24/1000*(2500+1.8*B9)</f>
        <v>14.5842</v>
      </c>
    </row>
    <row r="25" spans="1:7" ht="18.75">
      <c r="A25" t="s">
        <v>160</v>
      </c>
      <c r="B25">
        <f>B24</f>
        <v>3.8</v>
      </c>
      <c r="C25" t="s">
        <v>23</v>
      </c>
      <c r="E25" s="87" t="s">
        <v>405</v>
      </c>
      <c r="G25">
        <f>1.01*B11+B25/1000*(2500+1.8*B11)</f>
        <v>27.80312</v>
      </c>
    </row>
    <row r="27" spans="1:6" ht="15.75">
      <c r="A27" t="s">
        <v>45</v>
      </c>
      <c r="F27" s="5"/>
    </row>
    <row r="28" spans="1:3" ht="18.75">
      <c r="A28" t="s">
        <v>21</v>
      </c>
      <c r="B28">
        <f>G24</f>
        <v>14.5842</v>
      </c>
      <c r="C28" t="s">
        <v>24</v>
      </c>
    </row>
    <row r="29" spans="1:3" ht="18.75">
      <c r="A29" t="s">
        <v>22</v>
      </c>
      <c r="B29">
        <f>G25</f>
        <v>27.80312</v>
      </c>
      <c r="C29" t="s">
        <v>24</v>
      </c>
    </row>
    <row r="31" ht="15.75">
      <c r="A31" t="s">
        <v>161</v>
      </c>
    </row>
    <row r="33" ht="18.75">
      <c r="A33" t="s">
        <v>162</v>
      </c>
    </row>
    <row r="34" spans="1:6" ht="18.75">
      <c r="A34" s="23" t="s">
        <v>163</v>
      </c>
      <c r="B34" t="s">
        <v>164</v>
      </c>
      <c r="D34" t="s">
        <v>167</v>
      </c>
      <c r="E34" s="5">
        <f>B25</f>
        <v>3.8</v>
      </c>
      <c r="F34" t="s">
        <v>23</v>
      </c>
    </row>
    <row r="35" spans="1:7" ht="18.75">
      <c r="A35" s="23" t="s">
        <v>165</v>
      </c>
      <c r="B35" t="s">
        <v>430</v>
      </c>
      <c r="D35" s="4" t="s">
        <v>445</v>
      </c>
      <c r="E35" s="5">
        <f>B11</f>
        <v>18</v>
      </c>
      <c r="F35" t="s">
        <v>92</v>
      </c>
      <c r="G35" s="87"/>
    </row>
    <row r="36" ht="15.75">
      <c r="E36" s="5"/>
    </row>
    <row r="37" spans="1:10" ht="15.75">
      <c r="A37" s="78" t="s">
        <v>432</v>
      </c>
      <c r="B37" s="77"/>
      <c r="C37" s="77"/>
      <c r="D37" s="77"/>
      <c r="E37" s="79"/>
      <c r="F37" s="77"/>
      <c r="G37" s="77"/>
      <c r="H37" s="77"/>
      <c r="I37" s="77"/>
      <c r="J37" s="77"/>
    </row>
    <row r="38" spans="1:10" ht="18.75">
      <c r="A38" s="78" t="s">
        <v>446</v>
      </c>
      <c r="B38" s="77"/>
      <c r="C38" s="77"/>
      <c r="D38" s="77"/>
      <c r="E38" s="79"/>
      <c r="F38" s="77"/>
      <c r="G38" s="77"/>
      <c r="H38" s="77"/>
      <c r="I38" s="77"/>
      <c r="J38" s="77"/>
    </row>
    <row r="39" spans="1:10" ht="15.75">
      <c r="A39" s="78" t="s">
        <v>173</v>
      </c>
      <c r="B39" s="77"/>
      <c r="C39" s="77"/>
      <c r="D39" s="77"/>
      <c r="E39" s="79"/>
      <c r="F39" s="77"/>
      <c r="G39" s="77"/>
      <c r="H39" s="77"/>
      <c r="I39" s="77"/>
      <c r="J39" s="77"/>
    </row>
    <row r="40" spans="1:10" ht="18.75">
      <c r="A40" s="77" t="s">
        <v>145</v>
      </c>
      <c r="B40" s="77" t="s">
        <v>231</v>
      </c>
      <c r="C40" s="77" t="s">
        <v>23</v>
      </c>
      <c r="D40" s="77"/>
      <c r="E40" s="79"/>
      <c r="F40" s="77"/>
      <c r="G40" s="77"/>
      <c r="H40" s="77"/>
      <c r="I40" s="77"/>
      <c r="J40" s="77"/>
    </row>
    <row r="41" spans="1:10" ht="15.75">
      <c r="A41" s="96" t="s">
        <v>170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ht="15.75">
      <c r="A42" s="80"/>
      <c r="B42" s="81"/>
      <c r="C42" s="81"/>
      <c r="D42" s="81"/>
      <c r="E42" s="81"/>
      <c r="F42" s="81"/>
      <c r="G42" s="81"/>
      <c r="H42" s="81"/>
      <c r="I42" s="81"/>
      <c r="J42" s="81"/>
    </row>
    <row r="43" spans="1:10" ht="18.75">
      <c r="A43" s="77" t="s">
        <v>448</v>
      </c>
      <c r="B43" s="77"/>
      <c r="C43" s="77"/>
      <c r="D43" s="79" t="s">
        <v>100</v>
      </c>
      <c r="E43" s="77">
        <v>2689.6</v>
      </c>
      <c r="F43" s="77" t="s">
        <v>24</v>
      </c>
      <c r="G43" s="77"/>
      <c r="H43" s="77"/>
      <c r="I43" s="77"/>
      <c r="J43" s="77"/>
    </row>
    <row r="44" spans="1:10" ht="15.75">
      <c r="A44" s="78"/>
      <c r="B44" s="77"/>
      <c r="C44" s="77"/>
      <c r="D44" s="82"/>
      <c r="E44" s="79"/>
      <c r="F44" s="77"/>
      <c r="G44" s="77"/>
      <c r="H44" s="77"/>
      <c r="I44" s="77"/>
      <c r="J44" s="77"/>
    </row>
    <row r="45" spans="1:10" ht="15.75">
      <c r="A45" s="77" t="s">
        <v>117</v>
      </c>
      <c r="B45" s="77"/>
      <c r="C45" s="77"/>
      <c r="D45" s="77"/>
      <c r="E45" s="77"/>
      <c r="F45" s="77"/>
      <c r="G45" s="77"/>
      <c r="H45" s="77"/>
      <c r="I45" s="77"/>
      <c r="J45" s="77"/>
    </row>
    <row r="46" spans="1:10" ht="15.75">
      <c r="A46" s="77"/>
      <c r="B46" s="77"/>
      <c r="C46" s="77"/>
      <c r="D46" s="77"/>
      <c r="E46" s="77"/>
      <c r="F46" s="77"/>
      <c r="G46" s="77"/>
      <c r="H46" s="77"/>
      <c r="I46" s="77"/>
      <c r="J46" s="77"/>
    </row>
    <row r="47" spans="1:10" ht="18.75">
      <c r="A47" s="77" t="s">
        <v>449</v>
      </c>
      <c r="B47" s="77" t="s">
        <v>56</v>
      </c>
      <c r="C47" s="77"/>
      <c r="D47" s="77" t="s">
        <v>55</v>
      </c>
      <c r="E47" s="77"/>
      <c r="F47" s="83"/>
      <c r="G47" s="84"/>
      <c r="H47" s="77"/>
      <c r="I47" s="77"/>
      <c r="J47" s="77"/>
    </row>
    <row r="48" spans="1:10" ht="15.75">
      <c r="A48" s="77"/>
      <c r="B48" s="77"/>
      <c r="C48" s="77"/>
      <c r="D48" s="77"/>
      <c r="E48" s="77"/>
      <c r="F48" s="77"/>
      <c r="G48" s="77"/>
      <c r="H48" s="77"/>
      <c r="I48" s="77"/>
      <c r="J48" s="77"/>
    </row>
    <row r="49" spans="1:10" ht="18.75">
      <c r="A49" s="77" t="s">
        <v>450</v>
      </c>
      <c r="B49" s="83" t="s">
        <v>52</v>
      </c>
      <c r="C49" s="77" t="s">
        <v>451</v>
      </c>
      <c r="D49" s="85">
        <f>(6.4+B21*B25)/B21</f>
        <v>9.020205714285714</v>
      </c>
      <c r="E49" s="77" t="s">
        <v>23</v>
      </c>
      <c r="F49" s="83"/>
      <c r="G49" s="77"/>
      <c r="H49" s="77"/>
      <c r="I49" s="77"/>
      <c r="J49" s="77"/>
    </row>
    <row r="50" spans="1:10" ht="15.75">
      <c r="A50" s="77"/>
      <c r="B50" s="77"/>
      <c r="C50" s="77"/>
      <c r="D50" s="77"/>
      <c r="E50" s="77"/>
      <c r="F50" s="77"/>
      <c r="G50" s="77"/>
      <c r="H50" s="77"/>
      <c r="I50" s="77"/>
      <c r="J50" s="77"/>
    </row>
    <row r="51" spans="1:10" ht="18.75">
      <c r="A51" s="77" t="s">
        <v>174</v>
      </c>
      <c r="B51" s="83" t="s">
        <v>52</v>
      </c>
      <c r="C51" s="77" t="s">
        <v>319</v>
      </c>
      <c r="D51" s="84">
        <f>B21*(E35-B28)</f>
        <v>4.1877889869693155</v>
      </c>
      <c r="E51" s="77" t="s">
        <v>66</v>
      </c>
      <c r="F51" s="77"/>
      <c r="G51" s="87" t="s">
        <v>431</v>
      </c>
      <c r="H51" s="77"/>
      <c r="I51" s="77"/>
      <c r="J51" s="77">
        <f>1.01*18+D49/1000*(2500+1.8*B11)</f>
        <v>41.02276895085714</v>
      </c>
    </row>
    <row r="52" spans="1:10" ht="15.75">
      <c r="A52" s="77"/>
      <c r="B52" s="77"/>
      <c r="C52" s="77"/>
      <c r="D52" s="77">
        <f>2689</f>
        <v>2689</v>
      </c>
      <c r="E52" s="77"/>
      <c r="F52" s="77"/>
      <c r="G52" s="77"/>
      <c r="H52" s="77"/>
      <c r="I52" s="77"/>
      <c r="J52" s="77"/>
    </row>
    <row r="53" spans="1:10" ht="15.75">
      <c r="A53" s="77" t="s">
        <v>453</v>
      </c>
      <c r="B53" s="77"/>
      <c r="C53" s="77"/>
      <c r="D53" s="77">
        <f>D52*6.4/1000</f>
        <v>17.209600000000002</v>
      </c>
      <c r="E53" s="77"/>
      <c r="F53" s="77"/>
      <c r="G53" s="77"/>
      <c r="H53" s="77"/>
      <c r="I53" s="77"/>
      <c r="J53" s="77"/>
    </row>
    <row r="54" spans="1:10" ht="15.75">
      <c r="A54" s="77" t="s">
        <v>454</v>
      </c>
      <c r="B54" s="91">
        <v>0.75</v>
      </c>
      <c r="C54" s="77"/>
      <c r="D54" s="77">
        <f>D53</f>
        <v>17.209600000000002</v>
      </c>
      <c r="E54" s="77"/>
      <c r="F54" s="77"/>
      <c r="G54" s="77"/>
      <c r="H54" s="77"/>
      <c r="I54" s="77"/>
      <c r="J54" s="77"/>
    </row>
    <row r="55" spans="1:10" ht="15.75">
      <c r="A55" s="77"/>
      <c r="B55" s="77"/>
      <c r="C55" s="77"/>
      <c r="D55" s="77"/>
      <c r="E55" s="77"/>
      <c r="F55" s="77"/>
      <c r="G55" s="77"/>
      <c r="H55" s="77"/>
      <c r="I55" s="77"/>
      <c r="J55" s="77"/>
    </row>
    <row r="56" spans="1:10" ht="15.75">
      <c r="A56" s="77"/>
      <c r="B56" s="77"/>
      <c r="C56" s="77"/>
      <c r="D56" s="77"/>
      <c r="E56" s="77"/>
      <c r="F56" s="77"/>
      <c r="G56" s="77"/>
      <c r="H56" s="77"/>
      <c r="I56" s="77"/>
      <c r="J56" s="77"/>
    </row>
    <row r="57" spans="1:10" ht="15.75">
      <c r="A57" s="79" t="s">
        <v>248</v>
      </c>
      <c r="B57" s="77"/>
      <c r="C57" s="77"/>
      <c r="D57" s="77"/>
      <c r="E57" s="77"/>
      <c r="F57" s="77"/>
      <c r="G57" s="77"/>
      <c r="H57" s="77"/>
      <c r="I57" s="77"/>
      <c r="J57" s="77"/>
    </row>
    <row r="58" spans="1:10" ht="18.75">
      <c r="A58" s="79" t="s">
        <v>109</v>
      </c>
      <c r="B58" s="77" t="s">
        <v>279</v>
      </c>
      <c r="C58" s="84">
        <f>J51-B28</f>
        <v>26.438568950857142</v>
      </c>
      <c r="D58" s="77" t="s">
        <v>111</v>
      </c>
      <c r="E58" s="77"/>
      <c r="F58" s="77"/>
      <c r="G58" s="77"/>
      <c r="H58" s="77"/>
      <c r="I58" s="77"/>
      <c r="J58" s="77"/>
    </row>
    <row r="59" spans="1:10" ht="17.25">
      <c r="A59" s="86" t="s">
        <v>108</v>
      </c>
      <c r="B59" s="77" t="s">
        <v>278</v>
      </c>
      <c r="C59" s="84">
        <f>D49-B24</f>
        <v>5.220205714285714</v>
      </c>
      <c r="D59" s="77" t="s">
        <v>112</v>
      </c>
      <c r="E59" s="77"/>
      <c r="F59" s="77"/>
      <c r="G59" s="77"/>
      <c r="H59" s="77"/>
      <c r="I59" s="77"/>
      <c r="J59" s="77"/>
    </row>
    <row r="60" spans="1:10" ht="18.75">
      <c r="A60" s="79" t="s">
        <v>275</v>
      </c>
      <c r="B60" s="77" t="s">
        <v>280</v>
      </c>
      <c r="C60" s="84">
        <f>C58/C59</f>
        <v>5.064660359744991</v>
      </c>
      <c r="D60" s="77" t="s">
        <v>110</v>
      </c>
      <c r="E60" s="77"/>
      <c r="F60" s="77"/>
      <c r="G60" s="77"/>
      <c r="H60" s="77"/>
      <c r="I60" s="77"/>
      <c r="J60" s="77"/>
    </row>
    <row r="61" spans="1:10" ht="15.75">
      <c r="A61" s="77"/>
      <c r="B61" s="77"/>
      <c r="C61" s="77"/>
      <c r="D61" s="77"/>
      <c r="E61" s="77"/>
      <c r="F61" s="77"/>
      <c r="G61" s="77"/>
      <c r="H61" s="77"/>
      <c r="I61" s="77"/>
      <c r="J61" s="77"/>
    </row>
  </sheetData>
  <sheetProtection/>
  <mergeCells count="1">
    <mergeCell ref="A41:J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zoomScale="110" zoomScaleNormal="110" zoomScalePageLayoutView="0" workbookViewId="0" topLeftCell="A69">
      <selection activeCell="B68" sqref="B68"/>
    </sheetView>
  </sheetViews>
  <sheetFormatPr defaultColWidth="11.00390625" defaultRowHeight="15.75"/>
  <cols>
    <col min="1" max="1" width="17.875" style="0" customWidth="1"/>
    <col min="2" max="2" width="13.375" style="0" customWidth="1"/>
    <col min="3" max="4" width="11.00390625" style="0" customWidth="1"/>
    <col min="5" max="5" width="16.00390625" style="0" customWidth="1"/>
    <col min="6" max="6" width="16.375" style="0" customWidth="1"/>
    <col min="7" max="7" width="11.875" style="0" customWidth="1"/>
    <col min="8" max="8" width="13.875" style="0" customWidth="1"/>
    <col min="9" max="14" width="11.00390625" style="0" customWidth="1"/>
    <col min="15" max="15" width="14.125" style="0" customWidth="1"/>
  </cols>
  <sheetData>
    <row r="1" ht="15.75">
      <c r="A1" s="37" t="s">
        <v>259</v>
      </c>
    </row>
    <row r="2" ht="15.75">
      <c r="A2" s="37"/>
    </row>
    <row r="3" ht="15.75">
      <c r="A3" s="37"/>
    </row>
    <row r="4" ht="15.75">
      <c r="A4" s="37"/>
    </row>
    <row r="5" ht="15.75">
      <c r="A5" s="37"/>
    </row>
    <row r="6" ht="15.75">
      <c r="A6" s="37"/>
    </row>
    <row r="7" ht="15.75">
      <c r="A7" s="37"/>
    </row>
    <row r="8" ht="15.75">
      <c r="A8" s="37"/>
    </row>
    <row r="9" ht="15.75">
      <c r="A9" s="37" t="s">
        <v>79</v>
      </c>
    </row>
    <row r="10" ht="15.75">
      <c r="A10" s="37" t="s">
        <v>86</v>
      </c>
    </row>
    <row r="11" ht="18.75">
      <c r="A11" s="37" t="s">
        <v>282</v>
      </c>
    </row>
    <row r="12" ht="18.75">
      <c r="A12" s="37" t="s">
        <v>283</v>
      </c>
    </row>
    <row r="13" ht="18.75">
      <c r="A13" s="37" t="s">
        <v>284</v>
      </c>
    </row>
    <row r="14" ht="15.75">
      <c r="A14" s="37"/>
    </row>
    <row r="16" ht="15.75">
      <c r="A16" t="s">
        <v>80</v>
      </c>
    </row>
    <row r="17" spans="1:9" ht="19.5">
      <c r="A17" t="s">
        <v>36</v>
      </c>
      <c r="B17">
        <v>6500</v>
      </c>
      <c r="C17" t="s">
        <v>34</v>
      </c>
      <c r="D17" s="8">
        <f>B17/3600</f>
        <v>1.8055555555555556</v>
      </c>
      <c r="E17" t="s">
        <v>76</v>
      </c>
      <c r="I17" s="8"/>
    </row>
    <row r="18" spans="1:2" ht="18.75">
      <c r="A18" t="s">
        <v>6</v>
      </c>
      <c r="B18" s="1">
        <v>0.6</v>
      </c>
    </row>
    <row r="19" spans="1:2" ht="18.75">
      <c r="A19" t="s">
        <v>7</v>
      </c>
      <c r="B19" s="3" t="s">
        <v>281</v>
      </c>
    </row>
    <row r="20" spans="1:2" ht="18.75">
      <c r="A20" t="s">
        <v>11</v>
      </c>
      <c r="B20" t="s">
        <v>14</v>
      </c>
    </row>
    <row r="21" spans="1:2" ht="18.75">
      <c r="A21" t="s">
        <v>10</v>
      </c>
      <c r="B21" t="s">
        <v>156</v>
      </c>
    </row>
    <row r="22" ht="15.75">
      <c r="A22" t="s">
        <v>90</v>
      </c>
    </row>
    <row r="23" spans="1:3" ht="18.75">
      <c r="A23" t="s">
        <v>77</v>
      </c>
      <c r="B23">
        <v>18</v>
      </c>
      <c r="C23" t="s">
        <v>92</v>
      </c>
    </row>
    <row r="27" ht="15.75">
      <c r="A27" t="s">
        <v>139</v>
      </c>
    </row>
    <row r="28" spans="1:10" ht="19.5">
      <c r="A28" t="s">
        <v>11</v>
      </c>
      <c r="B28" s="7">
        <v>0.905</v>
      </c>
      <c r="C28" t="s">
        <v>16</v>
      </c>
      <c r="D28" s="5" t="s">
        <v>35</v>
      </c>
      <c r="F28" s="3" t="s">
        <v>38</v>
      </c>
      <c r="G28" t="s">
        <v>39</v>
      </c>
      <c r="H28" s="8">
        <f>B17/3600/B28</f>
        <v>1.9950890116635973</v>
      </c>
      <c r="I28" t="s">
        <v>15</v>
      </c>
      <c r="J28" t="s">
        <v>15</v>
      </c>
    </row>
    <row r="29" ht="15.75">
      <c r="J29" s="5"/>
    </row>
    <row r="31" ht="15.75">
      <c r="A31" t="s">
        <v>81</v>
      </c>
    </row>
    <row r="32" spans="1:3" ht="18.75">
      <c r="A32" t="s">
        <v>18</v>
      </c>
      <c r="B32">
        <v>21.55</v>
      </c>
      <c r="C32" t="s">
        <v>23</v>
      </c>
    </row>
    <row r="33" spans="1:13" ht="15.75">
      <c r="A33" t="s">
        <v>45</v>
      </c>
      <c r="F33" s="5"/>
      <c r="G33" s="10" t="s">
        <v>242</v>
      </c>
      <c r="H33" s="11"/>
      <c r="I33" s="11"/>
      <c r="J33" s="11"/>
      <c r="K33" s="11"/>
      <c r="L33" s="11"/>
      <c r="M33" s="12"/>
    </row>
    <row r="34" spans="1:13" ht="18.75">
      <c r="A34" t="s">
        <v>21</v>
      </c>
      <c r="B34">
        <v>90.5</v>
      </c>
      <c r="C34" t="s">
        <v>24</v>
      </c>
      <c r="G34" s="13" t="s">
        <v>61</v>
      </c>
      <c r="H34" s="14"/>
      <c r="I34" s="14">
        <f>1.01*35+B32/1000*(2500+1.805*35)</f>
        <v>90.58642125</v>
      </c>
      <c r="J34" s="14" t="s">
        <v>24</v>
      </c>
      <c r="K34" s="14" t="s">
        <v>62</v>
      </c>
      <c r="L34" s="14"/>
      <c r="M34" s="15"/>
    </row>
    <row r="36" ht="15.75">
      <c r="A36" s="20" t="s">
        <v>93</v>
      </c>
    </row>
    <row r="38" ht="15.75">
      <c r="A38" t="s">
        <v>285</v>
      </c>
    </row>
    <row r="39" ht="15.75">
      <c r="A39" t="s">
        <v>141</v>
      </c>
    </row>
    <row r="40" ht="15.75">
      <c r="A40" t="s">
        <v>286</v>
      </c>
    </row>
    <row r="42" ht="15.75">
      <c r="A42" t="s">
        <v>143</v>
      </c>
    </row>
    <row r="44" ht="15.75">
      <c r="A44" t="s">
        <v>287</v>
      </c>
    </row>
    <row r="45" ht="15.75">
      <c r="A45" t="s">
        <v>288</v>
      </c>
    </row>
    <row r="47" spans="1:3" ht="18.75">
      <c r="A47" s="3" t="s">
        <v>95</v>
      </c>
      <c r="B47">
        <v>7.6</v>
      </c>
      <c r="C47" t="s">
        <v>23</v>
      </c>
    </row>
    <row r="48" spans="1:12" ht="18.75">
      <c r="A48" s="3" t="s">
        <v>96</v>
      </c>
      <c r="B48">
        <v>29</v>
      </c>
      <c r="C48" t="s">
        <v>24</v>
      </c>
      <c r="F48" s="10" t="s">
        <v>242</v>
      </c>
      <c r="G48" s="11"/>
      <c r="H48" s="11"/>
      <c r="I48" s="11"/>
      <c r="J48" s="11"/>
      <c r="K48" s="11"/>
      <c r="L48" s="12"/>
    </row>
    <row r="49" spans="1:12" ht="18.75">
      <c r="A49" s="3" t="s">
        <v>10</v>
      </c>
      <c r="B49">
        <v>10</v>
      </c>
      <c r="C49" t="s">
        <v>92</v>
      </c>
      <c r="F49" s="13" t="s">
        <v>61</v>
      </c>
      <c r="G49" s="14"/>
      <c r="H49" s="14">
        <f>1.01*10+B47/1000*(2500+1.805*10)</f>
        <v>29.237180000000002</v>
      </c>
      <c r="I49" s="14" t="s">
        <v>24</v>
      </c>
      <c r="J49" s="14" t="s">
        <v>62</v>
      </c>
      <c r="K49" s="14"/>
      <c r="L49" s="15"/>
    </row>
    <row r="51" ht="15.75">
      <c r="A51" t="s">
        <v>293</v>
      </c>
    </row>
    <row r="52" spans="1:8" ht="18.75">
      <c r="A52" t="s">
        <v>25</v>
      </c>
      <c r="D52" t="s">
        <v>82</v>
      </c>
      <c r="G52" s="8">
        <f>H28</f>
        <v>1.9950890116635973</v>
      </c>
      <c r="H52" t="s">
        <v>15</v>
      </c>
    </row>
    <row r="53" spans="1:8" ht="18.75">
      <c r="A53" s="4" t="s">
        <v>27</v>
      </c>
      <c r="D53" t="s">
        <v>83</v>
      </c>
      <c r="F53" s="37" t="s">
        <v>296</v>
      </c>
      <c r="G53" s="17">
        <f>G52*(B32-B47)/1000</f>
        <v>0.027831491712707185</v>
      </c>
      <c r="H53" t="s">
        <v>15</v>
      </c>
    </row>
    <row r="54" spans="1:19" ht="18.75">
      <c r="A54" t="s">
        <v>26</v>
      </c>
      <c r="D54" s="4" t="s">
        <v>325</v>
      </c>
      <c r="F54" s="37" t="s">
        <v>326</v>
      </c>
      <c r="G54" s="17">
        <f>G52*(B34-B48)-G53*K55</f>
        <v>121.52821662062615</v>
      </c>
      <c r="H54" t="s">
        <v>66</v>
      </c>
      <c r="J54" s="30" t="s">
        <v>294</v>
      </c>
      <c r="K54" s="30"/>
      <c r="L54" s="30"/>
      <c r="M54" s="30"/>
      <c r="N54" s="30"/>
      <c r="O54" s="30"/>
      <c r="P54" s="30"/>
      <c r="Q54" s="30"/>
      <c r="R54" s="30"/>
      <c r="S54" s="30"/>
    </row>
    <row r="55" spans="10:19" ht="18.75">
      <c r="J55" s="3" t="s">
        <v>100</v>
      </c>
      <c r="K55" s="42">
        <v>42.03</v>
      </c>
      <c r="L55" t="s">
        <v>24</v>
      </c>
      <c r="M55" t="s">
        <v>295</v>
      </c>
      <c r="N55" s="30"/>
      <c r="O55" s="30"/>
      <c r="P55" s="30"/>
      <c r="Q55" s="30"/>
      <c r="R55" s="30"/>
      <c r="S55" s="30"/>
    </row>
    <row r="56" spans="14:19" ht="15.75">
      <c r="N56" s="30"/>
      <c r="O56" s="30"/>
      <c r="P56" s="30"/>
      <c r="Q56" s="30"/>
      <c r="R56" s="30"/>
      <c r="S56" s="30"/>
    </row>
    <row r="57" ht="15.75">
      <c r="A57" s="20" t="s">
        <v>297</v>
      </c>
    </row>
    <row r="58" ht="15.75">
      <c r="A58" s="5" t="s">
        <v>289</v>
      </c>
    </row>
    <row r="59" ht="15.75">
      <c r="A59" s="5" t="s">
        <v>290</v>
      </c>
    </row>
    <row r="60" ht="15.75">
      <c r="A60" t="s">
        <v>146</v>
      </c>
    </row>
    <row r="61" spans="1:3" ht="18.75">
      <c r="A61" t="s">
        <v>102</v>
      </c>
      <c r="B61">
        <v>7.6</v>
      </c>
      <c r="C61" t="s">
        <v>23</v>
      </c>
    </row>
    <row r="62" spans="1:4" ht="15.75">
      <c r="A62" s="5" t="s">
        <v>148</v>
      </c>
      <c r="D62" t="s">
        <v>97</v>
      </c>
    </row>
    <row r="63" ht="18.75">
      <c r="A63" s="5" t="s">
        <v>102</v>
      </c>
    </row>
    <row r="64" ht="15.75">
      <c r="A64" t="s">
        <v>291</v>
      </c>
    </row>
    <row r="65" ht="15.75">
      <c r="A65" t="s">
        <v>292</v>
      </c>
    </row>
    <row r="66" spans="1:11" ht="18.75">
      <c r="A66" s="3" t="s">
        <v>106</v>
      </c>
      <c r="B66">
        <v>38</v>
      </c>
      <c r="E66" s="10" t="s">
        <v>242</v>
      </c>
      <c r="F66" s="11"/>
      <c r="G66" s="11"/>
      <c r="H66" s="11"/>
      <c r="I66" s="11"/>
      <c r="J66" s="11"/>
      <c r="K66" s="12"/>
    </row>
    <row r="67" spans="5:11" ht="18.75">
      <c r="E67" s="13" t="s">
        <v>61</v>
      </c>
      <c r="F67" s="14"/>
      <c r="G67" s="14">
        <f>1.01*B23+B47/1000*(2500+1.805*B23)</f>
        <v>37.426924</v>
      </c>
      <c r="H67" s="14" t="s">
        <v>24</v>
      </c>
      <c r="I67" s="14" t="s">
        <v>62</v>
      </c>
      <c r="J67" s="14"/>
      <c r="K67" s="15"/>
    </row>
    <row r="68" spans="1:2" ht="18.75">
      <c r="A68" s="37" t="s">
        <v>324</v>
      </c>
      <c r="B68" s="21">
        <f>G52*(B66-B48)</f>
        <v>17.955801104972377</v>
      </c>
    </row>
    <row r="70" ht="15.75">
      <c r="A70" t="s">
        <v>258</v>
      </c>
    </row>
    <row r="71" spans="1:4" ht="18.75">
      <c r="A71" s="5" t="s">
        <v>109</v>
      </c>
      <c r="B71" t="s">
        <v>279</v>
      </c>
      <c r="C71">
        <f>B66-B34</f>
        <v>-52.5</v>
      </c>
      <c r="D71" t="s">
        <v>111</v>
      </c>
    </row>
    <row r="72" spans="1:4" ht="17.25">
      <c r="A72" s="16" t="s">
        <v>108</v>
      </c>
      <c r="B72" t="s">
        <v>278</v>
      </c>
      <c r="C72">
        <f>B61-B32</f>
        <v>-13.950000000000001</v>
      </c>
      <c r="D72" t="s">
        <v>112</v>
      </c>
    </row>
    <row r="73" spans="1:4" ht="18.75">
      <c r="A73" s="5" t="s">
        <v>275</v>
      </c>
      <c r="B73" t="s">
        <v>280</v>
      </c>
      <c r="C73" s="8">
        <f>C71/C72</f>
        <v>3.7634408602150535</v>
      </c>
      <c r="D73" t="s">
        <v>110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="95" zoomScaleNormal="95" zoomScalePageLayoutView="0" workbookViewId="0" topLeftCell="A68">
      <selection activeCell="B76" sqref="B76"/>
    </sheetView>
  </sheetViews>
  <sheetFormatPr defaultColWidth="11.00390625" defaultRowHeight="15.75"/>
  <cols>
    <col min="1" max="1" width="18.50390625" style="0" customWidth="1"/>
    <col min="2" max="2" width="14.00390625" style="0" customWidth="1"/>
    <col min="3" max="3" width="17.375" style="0" customWidth="1"/>
    <col min="4" max="4" width="12.375" style="0" customWidth="1"/>
    <col min="5" max="5" width="16.00390625" style="0" customWidth="1"/>
    <col min="6" max="6" width="11.00390625" style="0" customWidth="1"/>
    <col min="7" max="7" width="11.875" style="0" customWidth="1"/>
    <col min="8" max="8" width="13.875" style="0" customWidth="1"/>
  </cols>
  <sheetData>
    <row r="1" ht="15.75">
      <c r="A1" s="37" t="s">
        <v>222</v>
      </c>
    </row>
    <row r="2" ht="15.75">
      <c r="A2" s="37"/>
    </row>
    <row r="3" ht="15.75">
      <c r="A3" s="37"/>
    </row>
    <row r="4" ht="15.75">
      <c r="A4" s="37"/>
    </row>
    <row r="5" ht="15.75">
      <c r="A5" s="37"/>
    </row>
    <row r="6" ht="15.75">
      <c r="A6" s="37"/>
    </row>
    <row r="7" ht="15.75">
      <c r="A7" s="37"/>
    </row>
    <row r="8" ht="15.75">
      <c r="A8" s="37"/>
    </row>
    <row r="9" ht="15.75">
      <c r="A9" s="37" t="s">
        <v>113</v>
      </c>
    </row>
    <row r="11" spans="1:6" ht="15.75">
      <c r="A11" t="s">
        <v>5</v>
      </c>
      <c r="F11" t="s">
        <v>8</v>
      </c>
    </row>
    <row r="12" spans="1:10" ht="19.5">
      <c r="A12" t="s">
        <v>36</v>
      </c>
      <c r="B12">
        <v>3000</v>
      </c>
      <c r="C12" t="s">
        <v>34</v>
      </c>
      <c r="D12" s="8">
        <f>B12/3600</f>
        <v>0.8333333333333334</v>
      </c>
      <c r="E12" t="s">
        <v>76</v>
      </c>
      <c r="F12" t="s">
        <v>37</v>
      </c>
      <c r="G12">
        <v>1500</v>
      </c>
      <c r="H12" t="s">
        <v>34</v>
      </c>
      <c r="I12" s="8">
        <f>G12/3600</f>
        <v>0.4166666666666667</v>
      </c>
      <c r="J12" t="s">
        <v>76</v>
      </c>
    </row>
    <row r="13" spans="1:7" ht="18.75">
      <c r="A13" t="s">
        <v>6</v>
      </c>
      <c r="B13" s="1">
        <v>0.7</v>
      </c>
      <c r="F13" t="s">
        <v>9</v>
      </c>
      <c r="G13" s="1">
        <v>0.5</v>
      </c>
    </row>
    <row r="14" spans="1:7" ht="18.75">
      <c r="A14" t="s">
        <v>7</v>
      </c>
      <c r="B14" s="3" t="s">
        <v>114</v>
      </c>
      <c r="F14" t="s">
        <v>10</v>
      </c>
      <c r="G14">
        <v>20</v>
      </c>
    </row>
    <row r="15" spans="1:7" ht="18.75">
      <c r="A15" t="s">
        <v>11</v>
      </c>
      <c r="B15" t="s">
        <v>14</v>
      </c>
      <c r="F15" t="s">
        <v>12</v>
      </c>
      <c r="G15" t="s">
        <v>14</v>
      </c>
    </row>
    <row r="17" ht="15.75">
      <c r="A17" t="s">
        <v>321</v>
      </c>
    </row>
    <row r="19" ht="15.75">
      <c r="A19" s="37" t="s">
        <v>86</v>
      </c>
    </row>
    <row r="20" ht="15.75">
      <c r="A20" s="39" t="s">
        <v>254</v>
      </c>
    </row>
    <row r="21" ht="15.75">
      <c r="A21" s="39" t="s">
        <v>255</v>
      </c>
    </row>
    <row r="22" ht="15.75">
      <c r="A22" s="39" t="s">
        <v>256</v>
      </c>
    </row>
    <row r="25" ht="15.75">
      <c r="A25" t="s">
        <v>257</v>
      </c>
    </row>
    <row r="26" spans="1:10" ht="19.5">
      <c r="A26" t="s">
        <v>11</v>
      </c>
      <c r="B26">
        <f>0.791</f>
        <v>0.791</v>
      </c>
      <c r="C26" t="s">
        <v>16</v>
      </c>
      <c r="D26" s="5" t="s">
        <v>35</v>
      </c>
      <c r="F26" s="3" t="s">
        <v>38</v>
      </c>
      <c r="G26" t="s">
        <v>39</v>
      </c>
      <c r="H26" s="8">
        <f>B12/3600/B26</f>
        <v>1.0535187526337968</v>
      </c>
      <c r="I26" t="s">
        <v>15</v>
      </c>
      <c r="J26" t="s">
        <v>15</v>
      </c>
    </row>
    <row r="27" spans="1:10" ht="19.5">
      <c r="A27" t="s">
        <v>12</v>
      </c>
      <c r="B27">
        <v>0.84</v>
      </c>
      <c r="C27" t="s">
        <v>16</v>
      </c>
      <c r="D27" s="5" t="s">
        <v>35</v>
      </c>
      <c r="F27" s="3" t="s">
        <v>41</v>
      </c>
      <c r="G27" t="s">
        <v>40</v>
      </c>
      <c r="H27" s="8">
        <f>G12/3600/B27</f>
        <v>0.49603174603174605</v>
      </c>
      <c r="I27" t="s">
        <v>15</v>
      </c>
      <c r="J27" t="s">
        <v>15</v>
      </c>
    </row>
    <row r="29" spans="1:3" ht="18.75">
      <c r="A29" s="3" t="s">
        <v>38</v>
      </c>
      <c r="B29" s="18">
        <f>H26</f>
        <v>1.0535187526337968</v>
      </c>
      <c r="C29" t="s">
        <v>15</v>
      </c>
    </row>
    <row r="30" spans="1:3" ht="18.75">
      <c r="A30" s="3" t="s">
        <v>41</v>
      </c>
      <c r="B30" s="18">
        <f>H27</f>
        <v>0.49603174603174605</v>
      </c>
      <c r="C30" t="s">
        <v>15</v>
      </c>
    </row>
    <row r="32" ht="15.75">
      <c r="A32" t="s">
        <v>44</v>
      </c>
    </row>
    <row r="33" spans="1:3" ht="18.75">
      <c r="A33" t="s">
        <v>18</v>
      </c>
      <c r="B33">
        <v>3.7</v>
      </c>
      <c r="C33" t="s">
        <v>23</v>
      </c>
    </row>
    <row r="34" spans="1:3" ht="18.75">
      <c r="A34" t="s">
        <v>19</v>
      </c>
      <c r="B34">
        <v>7.2</v>
      </c>
      <c r="C34" t="s">
        <v>23</v>
      </c>
    </row>
    <row r="35" spans="1:6" ht="15.75">
      <c r="A35" t="s">
        <v>45</v>
      </c>
      <c r="F35" s="5"/>
    </row>
    <row r="36" spans="1:3" ht="18.75">
      <c r="A36" t="s">
        <v>21</v>
      </c>
      <c r="B36">
        <v>14.5</v>
      </c>
      <c r="C36" t="s">
        <v>24</v>
      </c>
    </row>
    <row r="37" spans="1:3" ht="18.75">
      <c r="A37" t="s">
        <v>22</v>
      </c>
      <c r="B37">
        <v>39</v>
      </c>
      <c r="C37" t="s">
        <v>24</v>
      </c>
    </row>
    <row r="39" ht="15.75">
      <c r="A39" t="s">
        <v>47</v>
      </c>
    </row>
    <row r="40" ht="15.75">
      <c r="A40" t="s">
        <v>29</v>
      </c>
    </row>
    <row r="42" spans="1:10" ht="18.75">
      <c r="A42" t="s">
        <v>25</v>
      </c>
      <c r="D42" t="s">
        <v>28</v>
      </c>
      <c r="G42" t="s">
        <v>43</v>
      </c>
      <c r="I42" s="8">
        <f>H26+H27</f>
        <v>1.5495504986655428</v>
      </c>
      <c r="J42" t="s">
        <v>15</v>
      </c>
    </row>
    <row r="43" spans="1:12" ht="18.75">
      <c r="A43" s="4" t="s">
        <v>27</v>
      </c>
      <c r="D43" t="s">
        <v>30</v>
      </c>
      <c r="G43" t="s">
        <v>32</v>
      </c>
      <c r="I43" s="8">
        <f>(B33*H26+H27*B34)/I42</f>
        <v>4.820396600566572</v>
      </c>
      <c r="J43" t="s">
        <v>23</v>
      </c>
      <c r="K43" s="19">
        <f>I43</f>
        <v>4.820396600566572</v>
      </c>
      <c r="L43" t="s">
        <v>23</v>
      </c>
    </row>
    <row r="44" spans="1:12" ht="18.75">
      <c r="A44" t="s">
        <v>26</v>
      </c>
      <c r="D44" t="s">
        <v>31</v>
      </c>
      <c r="G44" s="4" t="s">
        <v>33</v>
      </c>
      <c r="I44" s="8">
        <f>(B29*B36+B30*B37)/I42</f>
        <v>22.342776203966007</v>
      </c>
      <c r="J44" t="s">
        <v>24</v>
      </c>
      <c r="K44" s="19">
        <f>I44</f>
        <v>22.342776203966007</v>
      </c>
      <c r="L44" t="s">
        <v>24</v>
      </c>
    </row>
    <row r="47" ht="18.75">
      <c r="A47" t="s">
        <v>46</v>
      </c>
    </row>
    <row r="48" spans="1:2" ht="18.75">
      <c r="A48" t="s">
        <v>77</v>
      </c>
      <c r="B48" t="s">
        <v>116</v>
      </c>
    </row>
    <row r="50" spans="1:3" ht="15.75">
      <c r="A50" t="s">
        <v>131</v>
      </c>
      <c r="C50" t="s">
        <v>130</v>
      </c>
    </row>
    <row r="52" ht="18.75">
      <c r="A52" t="s">
        <v>132</v>
      </c>
    </row>
    <row r="53" spans="1:5" ht="18.75">
      <c r="A53" t="s">
        <v>122</v>
      </c>
      <c r="C53" s="3" t="s">
        <v>121</v>
      </c>
      <c r="D53">
        <v>9.5</v>
      </c>
      <c r="E53" t="s">
        <v>23</v>
      </c>
    </row>
    <row r="54" ht="15.75">
      <c r="A54" t="s">
        <v>117</v>
      </c>
    </row>
    <row r="56" spans="1:8" ht="18.75">
      <c r="A56" t="s">
        <v>54</v>
      </c>
      <c r="B56" t="s">
        <v>56</v>
      </c>
      <c r="D56" t="s">
        <v>55</v>
      </c>
      <c r="E56" t="s">
        <v>123</v>
      </c>
      <c r="F56" s="3" t="s">
        <v>55</v>
      </c>
      <c r="G56" s="8">
        <f>I42</f>
        <v>1.5495504986655428</v>
      </c>
      <c r="H56" t="s">
        <v>15</v>
      </c>
    </row>
    <row r="58" spans="1:6" ht="18.75">
      <c r="A58" t="s">
        <v>118</v>
      </c>
      <c r="B58" s="3" t="s">
        <v>52</v>
      </c>
      <c r="C58" t="s">
        <v>119</v>
      </c>
      <c r="D58" s="7">
        <f>I42*(D53/1000-I43/1000)</f>
        <v>0.007251281781149037</v>
      </c>
      <c r="E58" t="s">
        <v>15</v>
      </c>
      <c r="F58" s="3"/>
    </row>
    <row r="60" spans="1:3" ht="18.75">
      <c r="A60" t="s">
        <v>124</v>
      </c>
      <c r="B60" s="3" t="s">
        <v>52</v>
      </c>
      <c r="C60" t="s">
        <v>125</v>
      </c>
    </row>
    <row r="62" spans="1:10" ht="15.75">
      <c r="A62" t="s">
        <v>58</v>
      </c>
      <c r="D62" s="10" t="s">
        <v>242</v>
      </c>
      <c r="E62" s="11"/>
      <c r="F62" s="11"/>
      <c r="G62" s="11"/>
      <c r="H62" s="11"/>
      <c r="I62" s="11"/>
      <c r="J62" s="12"/>
    </row>
    <row r="63" spans="1:10" ht="18.75">
      <c r="A63" s="3" t="s">
        <v>59</v>
      </c>
      <c r="B63" s="24">
        <v>52.5</v>
      </c>
      <c r="C63" s="24" t="s">
        <v>24</v>
      </c>
      <c r="D63" s="13" t="s">
        <v>61</v>
      </c>
      <c r="E63" s="14"/>
      <c r="F63" s="14">
        <f>1.01*28+D53/1000*(2500+1.805*28)</f>
        <v>52.510130000000004</v>
      </c>
      <c r="G63" s="14" t="s">
        <v>24</v>
      </c>
      <c r="H63" s="14" t="s">
        <v>62</v>
      </c>
      <c r="I63" s="14"/>
      <c r="J63" s="15"/>
    </row>
    <row r="65" ht="15.75">
      <c r="A65" t="s">
        <v>129</v>
      </c>
    </row>
    <row r="67" spans="1:10" ht="15.75">
      <c r="A67" s="93" t="s">
        <v>133</v>
      </c>
      <c r="B67" s="94"/>
      <c r="C67" s="94"/>
      <c r="D67" s="94"/>
      <c r="E67" s="94"/>
      <c r="F67" s="94"/>
      <c r="G67" s="94"/>
      <c r="H67" s="94"/>
      <c r="I67" s="94"/>
      <c r="J67" s="94"/>
    </row>
    <row r="68" spans="3:5" ht="18.75">
      <c r="C68" s="5" t="s">
        <v>100</v>
      </c>
      <c r="D68" s="4">
        <v>2689.6</v>
      </c>
      <c r="E68" t="s">
        <v>24</v>
      </c>
    </row>
    <row r="69" ht="15.75">
      <c r="A69" s="3"/>
    </row>
    <row r="70" ht="15.75">
      <c r="A70" s="3" t="s">
        <v>127</v>
      </c>
    </row>
    <row r="71" spans="1:7" ht="18.75">
      <c r="A71" t="s">
        <v>128</v>
      </c>
      <c r="B71" s="8">
        <f>G56*(B63-K44)-D58*D68</f>
        <v>27.2270936929344</v>
      </c>
      <c r="C71" t="s">
        <v>66</v>
      </c>
      <c r="G71" s="8"/>
    </row>
    <row r="72" ht="15.75">
      <c r="A72" s="3"/>
    </row>
    <row r="75" ht="18.75">
      <c r="A75" t="s">
        <v>322</v>
      </c>
    </row>
    <row r="76" spans="1:4" ht="18.75">
      <c r="A76" s="5" t="s">
        <v>109</v>
      </c>
      <c r="B76" t="s">
        <v>277</v>
      </c>
      <c r="C76" s="8">
        <f>B63-I44</f>
        <v>30.157223796033993</v>
      </c>
      <c r="D76" t="s">
        <v>111</v>
      </c>
    </row>
    <row r="77" spans="1:6" ht="17.25">
      <c r="A77" s="16" t="s">
        <v>108</v>
      </c>
      <c r="B77" t="s">
        <v>278</v>
      </c>
      <c r="C77" s="8">
        <f>D53-I43</f>
        <v>4.679603399433428</v>
      </c>
      <c r="D77" t="s">
        <v>112</v>
      </c>
      <c r="E77" s="3"/>
      <c r="F77" s="16"/>
    </row>
    <row r="78" spans="1:4" ht="18.75">
      <c r="A78" s="5" t="s">
        <v>275</v>
      </c>
      <c r="B78" t="s">
        <v>276</v>
      </c>
      <c r="C78" s="8">
        <f>C76/C77</f>
        <v>6.444397360615048</v>
      </c>
      <c r="D78" s="8" t="s">
        <v>110</v>
      </c>
    </row>
  </sheetData>
  <sheetProtection/>
  <mergeCells count="1">
    <mergeCell ref="A67:J67"/>
  </mergeCells>
  <printOptions/>
  <pageMargins left="0.75" right="0.75" top="1" bottom="1" header="0.5" footer="0.5"/>
  <pageSetup fitToHeight="0" fitToWidth="1" horizontalDpi="600" verticalDpi="600" orientation="landscape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="106" zoomScaleNormal="106" zoomScalePageLayoutView="0" workbookViewId="0" topLeftCell="A1">
      <selection activeCell="A2" sqref="A2"/>
    </sheetView>
  </sheetViews>
  <sheetFormatPr defaultColWidth="11.00390625" defaultRowHeight="15.75"/>
  <cols>
    <col min="1" max="1" width="17.875" style="0" customWidth="1"/>
    <col min="2" max="2" width="13.375" style="0" customWidth="1"/>
    <col min="3" max="4" width="11.00390625" style="0" customWidth="1"/>
    <col min="5" max="5" width="16.00390625" style="0" customWidth="1"/>
    <col min="6" max="6" width="16.375" style="0" customWidth="1"/>
    <col min="7" max="7" width="11.875" style="0" customWidth="1"/>
    <col min="8" max="8" width="13.875" style="0" customWidth="1"/>
    <col min="9" max="14" width="11.00390625" style="0" customWidth="1"/>
    <col min="15" max="15" width="14.125" style="0" customWidth="1"/>
  </cols>
  <sheetData>
    <row r="1" ht="15.75">
      <c r="A1" s="37" t="s">
        <v>306</v>
      </c>
    </row>
    <row r="2" ht="15.75">
      <c r="A2" s="37"/>
    </row>
    <row r="3" ht="15.75">
      <c r="A3" s="37"/>
    </row>
    <row r="4" ht="15.75">
      <c r="A4" s="37"/>
    </row>
    <row r="5" ht="15.75">
      <c r="A5" s="37"/>
    </row>
    <row r="6" ht="15.75">
      <c r="A6" s="37"/>
    </row>
    <row r="7" ht="15.75">
      <c r="A7" s="37"/>
    </row>
    <row r="8" ht="15.75">
      <c r="A8" s="37"/>
    </row>
    <row r="9" ht="15.75">
      <c r="A9" s="37" t="s">
        <v>79</v>
      </c>
    </row>
    <row r="10" ht="15.75">
      <c r="A10" t="s">
        <v>86</v>
      </c>
    </row>
    <row r="11" ht="18.75">
      <c r="A11" t="s">
        <v>89</v>
      </c>
    </row>
    <row r="12" ht="18.75">
      <c r="A12" t="s">
        <v>87</v>
      </c>
    </row>
    <row r="13" ht="18.75">
      <c r="A13" t="s">
        <v>88</v>
      </c>
    </row>
    <row r="16" ht="15.75">
      <c r="A16" t="s">
        <v>80</v>
      </c>
    </row>
    <row r="17" spans="1:9" ht="19.5">
      <c r="A17" t="s">
        <v>36</v>
      </c>
      <c r="B17">
        <v>2500</v>
      </c>
      <c r="C17" t="s">
        <v>34</v>
      </c>
      <c r="D17" s="8">
        <f>B17/3600</f>
        <v>0.6944444444444444</v>
      </c>
      <c r="E17" t="s">
        <v>76</v>
      </c>
      <c r="I17" s="8"/>
    </row>
    <row r="18" spans="1:2" ht="18.75">
      <c r="A18" t="s">
        <v>6</v>
      </c>
      <c r="B18" s="1">
        <v>0.4</v>
      </c>
    </row>
    <row r="19" spans="1:2" ht="18.75">
      <c r="A19" t="s">
        <v>7</v>
      </c>
      <c r="B19" s="3" t="s">
        <v>298</v>
      </c>
    </row>
    <row r="20" spans="1:2" ht="18.75">
      <c r="A20" t="s">
        <v>11</v>
      </c>
      <c r="B20" t="s">
        <v>14</v>
      </c>
    </row>
    <row r="21" ht="15.75">
      <c r="A21" t="s">
        <v>90</v>
      </c>
    </row>
    <row r="22" spans="1:3" ht="18.75">
      <c r="A22" t="s">
        <v>77</v>
      </c>
      <c r="B22">
        <v>22</v>
      </c>
      <c r="C22" t="s">
        <v>92</v>
      </c>
    </row>
    <row r="23" ht="15.75">
      <c r="A23" t="s">
        <v>137</v>
      </c>
    </row>
    <row r="24" spans="1:2" ht="18.75">
      <c r="A24" t="s">
        <v>136</v>
      </c>
      <c r="B24" s="1">
        <v>0.5</v>
      </c>
    </row>
    <row r="27" ht="15.75">
      <c r="A27" t="s">
        <v>139</v>
      </c>
    </row>
    <row r="28" spans="1:10" ht="19.5">
      <c r="A28" t="s">
        <v>11</v>
      </c>
      <c r="B28" s="7">
        <v>0.901</v>
      </c>
      <c r="C28" t="s">
        <v>16</v>
      </c>
      <c r="D28" s="5" t="s">
        <v>35</v>
      </c>
      <c r="F28" s="3" t="s">
        <v>38</v>
      </c>
      <c r="G28" t="s">
        <v>39</v>
      </c>
      <c r="H28" s="8">
        <f>B17/3600/B28</f>
        <v>0.7707485509927241</v>
      </c>
      <c r="I28" t="s">
        <v>15</v>
      </c>
      <c r="J28" t="s">
        <v>15</v>
      </c>
    </row>
    <row r="29" ht="15.75">
      <c r="J29" s="5"/>
    </row>
    <row r="31" ht="15.75">
      <c r="A31" t="s">
        <v>81</v>
      </c>
    </row>
    <row r="32" spans="1:3" ht="18.75">
      <c r="A32" t="s">
        <v>18</v>
      </c>
      <c r="B32">
        <v>16</v>
      </c>
      <c r="C32" t="s">
        <v>23</v>
      </c>
    </row>
    <row r="33" spans="1:13" ht="15.75">
      <c r="A33" t="s">
        <v>45</v>
      </c>
      <c r="F33" s="5"/>
      <c r="G33" s="10" t="s">
        <v>242</v>
      </c>
      <c r="H33" s="11"/>
      <c r="I33" s="11"/>
      <c r="J33" s="11"/>
      <c r="K33" s="11"/>
      <c r="L33" s="11"/>
      <c r="M33" s="12"/>
    </row>
    <row r="34" spans="1:13" ht="18.75">
      <c r="A34" t="s">
        <v>21</v>
      </c>
      <c r="B34">
        <v>78</v>
      </c>
      <c r="C34" t="s">
        <v>24</v>
      </c>
      <c r="G34" s="13" t="s">
        <v>61</v>
      </c>
      <c r="H34" s="14"/>
      <c r="I34" s="14">
        <f>1.01*37+B32/1000*(2500+1.805*37)</f>
        <v>78.43856</v>
      </c>
      <c r="J34" s="14" t="s">
        <v>24</v>
      </c>
      <c r="K34" s="14" t="s">
        <v>62</v>
      </c>
      <c r="L34" s="14"/>
      <c r="M34" s="15"/>
    </row>
    <row r="36" ht="15.75">
      <c r="A36" s="20" t="s">
        <v>93</v>
      </c>
    </row>
    <row r="38" ht="15.75">
      <c r="A38" t="s">
        <v>299</v>
      </c>
    </row>
    <row r="39" ht="15.75">
      <c r="A39" t="s">
        <v>141</v>
      </c>
    </row>
    <row r="40" ht="15.75">
      <c r="A40" t="s">
        <v>300</v>
      </c>
    </row>
    <row r="42" ht="15.75">
      <c r="A42" t="s">
        <v>143</v>
      </c>
    </row>
    <row r="44" ht="15.75">
      <c r="A44" t="s">
        <v>144</v>
      </c>
    </row>
    <row r="45" ht="15.75">
      <c r="A45" t="s">
        <v>221</v>
      </c>
    </row>
    <row r="46" spans="1:3" ht="18.75">
      <c r="A46" s="3" t="s">
        <v>145</v>
      </c>
      <c r="B46">
        <v>8.25</v>
      </c>
      <c r="C46" t="s">
        <v>23</v>
      </c>
    </row>
    <row r="48" ht="15.75">
      <c r="A48" t="s">
        <v>146</v>
      </c>
    </row>
    <row r="49" spans="1:3" ht="18.75">
      <c r="A49" t="s">
        <v>102</v>
      </c>
      <c r="B49">
        <f>B46</f>
        <v>8.25</v>
      </c>
      <c r="C49" t="s">
        <v>23</v>
      </c>
    </row>
    <row r="50" ht="15.75">
      <c r="A50" s="5" t="s">
        <v>148</v>
      </c>
    </row>
    <row r="51" ht="18.75">
      <c r="A51" s="5" t="s">
        <v>102</v>
      </c>
    </row>
    <row r="52" ht="15.75">
      <c r="A52" t="s">
        <v>147</v>
      </c>
    </row>
    <row r="53" ht="15.75">
      <c r="A53" t="s">
        <v>149</v>
      </c>
    </row>
    <row r="54" spans="1:16" ht="18.75">
      <c r="A54" s="3" t="s">
        <v>96</v>
      </c>
      <c r="B54">
        <v>32</v>
      </c>
      <c r="C54" t="s">
        <v>24</v>
      </c>
      <c r="I54" t="s">
        <v>97</v>
      </c>
      <c r="J54" s="10" t="s">
        <v>242</v>
      </c>
      <c r="K54" s="11"/>
      <c r="L54" s="11"/>
      <c r="M54" s="11"/>
      <c r="N54" s="11"/>
      <c r="O54" s="11"/>
      <c r="P54" s="12"/>
    </row>
    <row r="55" spans="1:16" ht="18.75">
      <c r="A55" s="3" t="s">
        <v>10</v>
      </c>
      <c r="B55">
        <v>11</v>
      </c>
      <c r="C55" t="s">
        <v>92</v>
      </c>
      <c r="J55" s="13" t="s">
        <v>61</v>
      </c>
      <c r="K55" s="14"/>
      <c r="L55" s="14">
        <f>1.01*11+B49/1000*(2500+1.805*11)</f>
        <v>31.89880375</v>
      </c>
      <c r="M55" s="14" t="s">
        <v>24</v>
      </c>
      <c r="N55" s="14" t="s">
        <v>62</v>
      </c>
      <c r="O55" s="14"/>
      <c r="P55" s="15"/>
    </row>
    <row r="56" spans="1:8" ht="18.75">
      <c r="A56" t="s">
        <v>25</v>
      </c>
      <c r="D56" t="s">
        <v>82</v>
      </c>
      <c r="G56" s="8">
        <f>H28</f>
        <v>0.7707485509927241</v>
      </c>
      <c r="H56" t="s">
        <v>15</v>
      </c>
    </row>
    <row r="57" spans="1:11" ht="18.75">
      <c r="A57" s="4" t="s">
        <v>27</v>
      </c>
      <c r="D57" t="s">
        <v>83</v>
      </c>
      <c r="F57" t="s">
        <v>98</v>
      </c>
      <c r="G57" s="43"/>
      <c r="I57" s="8"/>
      <c r="K57" s="9"/>
    </row>
    <row r="58" spans="1:11" ht="18.75">
      <c r="A58" t="s">
        <v>26</v>
      </c>
      <c r="D58" s="4" t="s">
        <v>84</v>
      </c>
      <c r="F58" s="4" t="s">
        <v>99</v>
      </c>
      <c r="I58" s="8"/>
      <c r="K58" s="9"/>
    </row>
    <row r="60" spans="1:10" ht="18.75">
      <c r="A60" s="30" t="s">
        <v>301</v>
      </c>
      <c r="B60" s="30"/>
      <c r="C60" s="30"/>
      <c r="D60" s="30"/>
      <c r="E60" s="30"/>
      <c r="F60" s="30"/>
      <c r="G60" s="30"/>
      <c r="H60" s="30"/>
      <c r="I60" s="30"/>
      <c r="J60" s="30"/>
    </row>
    <row r="61" spans="1:10" ht="15.75">
      <c r="A61" s="29" t="s">
        <v>0</v>
      </c>
      <c r="B61" s="30">
        <v>10</v>
      </c>
      <c r="C61" s="30" t="s">
        <v>20</v>
      </c>
      <c r="D61" s="30">
        <v>42.03</v>
      </c>
      <c r="E61" s="30"/>
      <c r="F61" s="30"/>
      <c r="G61" s="30"/>
      <c r="H61" s="30"/>
      <c r="I61" s="30"/>
      <c r="J61" s="30"/>
    </row>
    <row r="62" spans="1:10" ht="15.75">
      <c r="A62" s="29" t="s">
        <v>1</v>
      </c>
      <c r="B62" s="30">
        <v>15</v>
      </c>
      <c r="C62" s="30" t="s">
        <v>126</v>
      </c>
      <c r="D62" s="30">
        <v>62.96</v>
      </c>
      <c r="E62" s="30"/>
      <c r="F62" s="30"/>
      <c r="G62" s="30"/>
      <c r="H62" s="30"/>
      <c r="I62" s="30"/>
      <c r="J62" s="30"/>
    </row>
    <row r="63" spans="1:4" ht="18.75">
      <c r="A63" s="3" t="s">
        <v>100</v>
      </c>
      <c r="B63" s="21">
        <f>42.03+(11-10)/(15-10)*(62.96-42.03)</f>
        <v>46.216</v>
      </c>
      <c r="C63" t="s">
        <v>24</v>
      </c>
      <c r="D63" t="s">
        <v>151</v>
      </c>
    </row>
    <row r="65" ht="15.75">
      <c r="A65" t="s">
        <v>152</v>
      </c>
    </row>
    <row r="66" spans="1:3" ht="18.75">
      <c r="A66" t="s">
        <v>98</v>
      </c>
      <c r="B66" s="44">
        <f>G56*(B32/1000-B49/1000)</f>
        <v>0.005973301270193612</v>
      </c>
      <c r="C66" t="s">
        <v>15</v>
      </c>
    </row>
    <row r="67" ht="15.75">
      <c r="A67" t="s">
        <v>153</v>
      </c>
    </row>
    <row r="68" spans="1:3" ht="18.75">
      <c r="A68" s="4" t="s">
        <v>99</v>
      </c>
      <c r="B68" s="17">
        <f>G56*(B34-B54)-B66*B63</f>
        <v>35.17837125416204</v>
      </c>
      <c r="C68" t="s">
        <v>66</v>
      </c>
    </row>
    <row r="70" ht="15.75">
      <c r="A70" s="40" t="s">
        <v>101</v>
      </c>
    </row>
    <row r="71" spans="1:15" ht="18.75">
      <c r="A71" t="s">
        <v>88</v>
      </c>
      <c r="E71" t="s">
        <v>105</v>
      </c>
      <c r="I71" s="10" t="s">
        <v>60</v>
      </c>
      <c r="J71" s="11"/>
      <c r="K71" s="11"/>
      <c r="L71" s="11"/>
      <c r="M71" s="11"/>
      <c r="N71" s="11"/>
      <c r="O71" s="12"/>
    </row>
    <row r="72" spans="1:15" ht="18.75">
      <c r="A72" s="5" t="s">
        <v>302</v>
      </c>
      <c r="I72" s="13" t="s">
        <v>61</v>
      </c>
      <c r="J72" s="14"/>
      <c r="K72" s="14">
        <f>1.01*22+B46/1000*(2500+1.805*22)</f>
        <v>43.1726075</v>
      </c>
      <c r="L72" s="14" t="s">
        <v>24</v>
      </c>
      <c r="M72" s="14" t="s">
        <v>62</v>
      </c>
      <c r="N72" s="14"/>
      <c r="O72" s="15"/>
    </row>
    <row r="73" ht="15.75">
      <c r="A73" s="5" t="s">
        <v>290</v>
      </c>
    </row>
    <row r="74" ht="15.75">
      <c r="A74" t="s">
        <v>146</v>
      </c>
    </row>
    <row r="75" ht="18.75">
      <c r="A75" t="s">
        <v>102</v>
      </c>
    </row>
    <row r="76" spans="5:7" ht="18.75">
      <c r="E76" s="3" t="s">
        <v>106</v>
      </c>
      <c r="F76">
        <v>43</v>
      </c>
      <c r="G76" t="s">
        <v>24</v>
      </c>
    </row>
    <row r="77" ht="15.75">
      <c r="A77" t="s">
        <v>260</v>
      </c>
    </row>
    <row r="78" spans="1:7" ht="18.75">
      <c r="A78" s="4" t="s">
        <v>27</v>
      </c>
      <c r="D78" t="s">
        <v>261</v>
      </c>
      <c r="F78" t="s">
        <v>102</v>
      </c>
      <c r="G78">
        <f>B49</f>
        <v>8.25</v>
      </c>
    </row>
    <row r="79" spans="1:8" ht="18.75">
      <c r="A79" t="s">
        <v>26</v>
      </c>
      <c r="D79" s="4" t="s">
        <v>103</v>
      </c>
      <c r="F79" s="4" t="s">
        <v>303</v>
      </c>
      <c r="G79" s="8">
        <f>G56*(F76-B54)</f>
        <v>8.478234060919965</v>
      </c>
      <c r="H79" t="s">
        <v>66</v>
      </c>
    </row>
    <row r="82" ht="15.75">
      <c r="A82" t="s">
        <v>258</v>
      </c>
    </row>
    <row r="83" spans="1:4" ht="18.75">
      <c r="A83" s="5" t="s">
        <v>109</v>
      </c>
      <c r="B83" t="s">
        <v>279</v>
      </c>
      <c r="C83">
        <f>F76-B34</f>
        <v>-35</v>
      </c>
      <c r="D83" t="s">
        <v>111</v>
      </c>
    </row>
    <row r="84" spans="1:4" ht="17.25">
      <c r="A84" s="16" t="s">
        <v>108</v>
      </c>
      <c r="B84" t="s">
        <v>278</v>
      </c>
      <c r="C84">
        <f>G78-B32</f>
        <v>-7.75</v>
      </c>
      <c r="D84" t="s">
        <v>112</v>
      </c>
    </row>
    <row r="85" spans="1:4" ht="18.75">
      <c r="A85" s="5" t="s">
        <v>275</v>
      </c>
      <c r="B85" t="s">
        <v>280</v>
      </c>
      <c r="C85" s="8">
        <f>C83/C84</f>
        <v>4.516129032258065</v>
      </c>
      <c r="D85" t="s">
        <v>110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="110" zoomScaleNormal="110" zoomScalePageLayoutView="0" workbookViewId="0" topLeftCell="A1">
      <selection activeCell="A2" sqref="A2"/>
    </sheetView>
  </sheetViews>
  <sheetFormatPr defaultColWidth="11.00390625" defaultRowHeight="15.75"/>
  <cols>
    <col min="1" max="1" width="17.875" style="0" customWidth="1"/>
    <col min="2" max="2" width="13.375" style="0" customWidth="1"/>
    <col min="3" max="4" width="11.00390625" style="0" customWidth="1"/>
    <col min="5" max="5" width="16.00390625" style="0" customWidth="1"/>
    <col min="6" max="6" width="16.375" style="0" customWidth="1"/>
    <col min="7" max="7" width="11.875" style="0" customWidth="1"/>
    <col min="8" max="8" width="13.875" style="0" customWidth="1"/>
    <col min="9" max="14" width="11.00390625" style="0" customWidth="1"/>
    <col min="15" max="15" width="14.125" style="0" customWidth="1"/>
  </cols>
  <sheetData>
    <row r="1" ht="15.75">
      <c r="A1" s="37" t="s">
        <v>259</v>
      </c>
    </row>
    <row r="2" ht="15.75">
      <c r="A2" s="37"/>
    </row>
    <row r="3" ht="15.75">
      <c r="A3" s="37"/>
    </row>
    <row r="4" ht="15.75">
      <c r="A4" s="37"/>
    </row>
    <row r="5" ht="15.75">
      <c r="A5" s="37"/>
    </row>
    <row r="6" ht="15.75">
      <c r="A6" s="37"/>
    </row>
    <row r="7" ht="15.75">
      <c r="A7" s="37"/>
    </row>
    <row r="8" ht="15.75">
      <c r="A8" s="37"/>
    </row>
    <row r="9" ht="15.75">
      <c r="A9" s="37"/>
    </row>
    <row r="10" ht="15.75">
      <c r="A10" s="37" t="s">
        <v>79</v>
      </c>
    </row>
    <row r="11" ht="15.75">
      <c r="A11" t="s">
        <v>86</v>
      </c>
    </row>
    <row r="12" ht="18.75">
      <c r="A12" t="s">
        <v>89</v>
      </c>
    </row>
    <row r="13" ht="18.75">
      <c r="A13" t="s">
        <v>87</v>
      </c>
    </row>
    <row r="14" ht="18.75">
      <c r="A14" t="s">
        <v>88</v>
      </c>
    </row>
    <row r="15" ht="15.75">
      <c r="A15" t="s">
        <v>138</v>
      </c>
    </row>
    <row r="17" ht="15.75">
      <c r="A17" t="s">
        <v>80</v>
      </c>
    </row>
    <row r="18" spans="1:9" ht="19.5">
      <c r="A18" t="s">
        <v>36</v>
      </c>
      <c r="B18">
        <v>4500</v>
      </c>
      <c r="C18" t="s">
        <v>34</v>
      </c>
      <c r="D18" s="8">
        <f>B18/3600</f>
        <v>1.25</v>
      </c>
      <c r="E18" t="s">
        <v>76</v>
      </c>
      <c r="I18" s="8"/>
    </row>
    <row r="19" spans="1:2" ht="18.75">
      <c r="A19" t="s">
        <v>6</v>
      </c>
      <c r="B19" s="1">
        <v>0.6</v>
      </c>
    </row>
    <row r="20" spans="1:2" ht="18.75">
      <c r="A20" t="s">
        <v>7</v>
      </c>
      <c r="B20" s="3" t="s">
        <v>135</v>
      </c>
    </row>
    <row r="21" spans="1:2" ht="18.75">
      <c r="A21" t="s">
        <v>11</v>
      </c>
      <c r="B21" t="s">
        <v>14</v>
      </c>
    </row>
    <row r="22" ht="15.75">
      <c r="A22" t="s">
        <v>90</v>
      </c>
    </row>
    <row r="23" spans="1:3" ht="18.75">
      <c r="A23" t="s">
        <v>77</v>
      </c>
      <c r="B23">
        <v>22</v>
      </c>
      <c r="C23" t="s">
        <v>92</v>
      </c>
    </row>
    <row r="24" ht="15.75">
      <c r="A24" t="s">
        <v>137</v>
      </c>
    </row>
    <row r="25" spans="1:2" ht="18.75">
      <c r="A25" t="s">
        <v>136</v>
      </c>
      <c r="B25" s="1">
        <v>0.5</v>
      </c>
    </row>
    <row r="28" ht="15.75">
      <c r="A28" t="s">
        <v>139</v>
      </c>
    </row>
    <row r="29" spans="1:10" ht="19.5">
      <c r="A29" t="s">
        <v>11</v>
      </c>
      <c r="B29" s="7">
        <v>0.873</v>
      </c>
      <c r="C29" t="s">
        <v>16</v>
      </c>
      <c r="D29" s="5" t="s">
        <v>35</v>
      </c>
      <c r="F29" s="3" t="s">
        <v>38</v>
      </c>
      <c r="G29" t="s">
        <v>39</v>
      </c>
      <c r="H29" s="8">
        <f>B18/3600/B29</f>
        <v>1.43184421534937</v>
      </c>
      <c r="I29" t="s">
        <v>15</v>
      </c>
      <c r="J29" t="s">
        <v>15</v>
      </c>
    </row>
    <row r="30" ht="15.75">
      <c r="J30" s="5"/>
    </row>
    <row r="32" ht="15.75">
      <c r="A32" t="s">
        <v>81</v>
      </c>
    </row>
    <row r="33" spans="1:3" ht="18.75">
      <c r="A33" t="s">
        <v>18</v>
      </c>
      <c r="B33">
        <v>14.25</v>
      </c>
      <c r="C33" t="s">
        <v>23</v>
      </c>
    </row>
    <row r="34" spans="1:13" ht="15.75">
      <c r="A34" t="s">
        <v>45</v>
      </c>
      <c r="F34" s="5"/>
      <c r="G34" s="10" t="s">
        <v>242</v>
      </c>
      <c r="H34" s="11"/>
      <c r="I34" s="11"/>
      <c r="J34" s="11"/>
      <c r="K34" s="11"/>
      <c r="L34" s="11"/>
      <c r="M34" s="12"/>
    </row>
    <row r="35" spans="1:13" ht="18.75">
      <c r="A35" t="s">
        <v>21</v>
      </c>
      <c r="B35">
        <v>64.5</v>
      </c>
      <c r="C35" t="s">
        <v>24</v>
      </c>
      <c r="G35" s="13" t="s">
        <v>61</v>
      </c>
      <c r="H35" s="14"/>
      <c r="I35" s="14">
        <f>1.01*28+B33/1000*(2500+1.805*28)</f>
        <v>64.625195</v>
      </c>
      <c r="J35" s="14" t="s">
        <v>24</v>
      </c>
      <c r="K35" s="14" t="s">
        <v>62</v>
      </c>
      <c r="L35" s="14"/>
      <c r="M35" s="15"/>
    </row>
    <row r="37" ht="15.75">
      <c r="A37" s="20" t="s">
        <v>93</v>
      </c>
    </row>
    <row r="39" ht="15.75">
      <c r="A39" t="s">
        <v>140</v>
      </c>
    </row>
    <row r="40" ht="15.75">
      <c r="A40" t="s">
        <v>141</v>
      </c>
    </row>
    <row r="41" ht="15.75">
      <c r="A41" t="s">
        <v>142</v>
      </c>
    </row>
    <row r="43" ht="15.75">
      <c r="A43" t="s">
        <v>143</v>
      </c>
    </row>
    <row r="45" ht="15.75">
      <c r="A45" t="s">
        <v>144</v>
      </c>
    </row>
    <row r="46" ht="15.75">
      <c r="A46" t="s">
        <v>221</v>
      </c>
    </row>
    <row r="47" spans="1:3" ht="18.75">
      <c r="A47" s="3" t="s">
        <v>145</v>
      </c>
      <c r="B47">
        <v>8.25</v>
      </c>
      <c r="C47" t="s">
        <v>23</v>
      </c>
    </row>
    <row r="49" ht="15.75">
      <c r="A49" t="s">
        <v>146</v>
      </c>
    </row>
    <row r="50" spans="1:11" ht="18.75">
      <c r="A50" t="s">
        <v>102</v>
      </c>
      <c r="B50">
        <f>B47</f>
        <v>8.25</v>
      </c>
      <c r="C50" t="s">
        <v>23</v>
      </c>
      <c r="D50" t="s">
        <v>97</v>
      </c>
      <c r="E50" s="10" t="s">
        <v>242</v>
      </c>
      <c r="F50" s="11"/>
      <c r="G50" s="11"/>
      <c r="H50" s="11"/>
      <c r="I50" s="11"/>
      <c r="J50" s="11"/>
      <c r="K50" s="12"/>
    </row>
    <row r="51" spans="1:11" ht="18.75">
      <c r="A51" s="5" t="s">
        <v>148</v>
      </c>
      <c r="E51" s="13" t="s">
        <v>61</v>
      </c>
      <c r="F51" s="14"/>
      <c r="G51" s="14">
        <f>1.01*10+B50/1000*(2500+1.805*10)</f>
        <v>30.873912500000003</v>
      </c>
      <c r="H51" s="14" t="s">
        <v>24</v>
      </c>
      <c r="I51" s="14" t="s">
        <v>62</v>
      </c>
      <c r="J51" s="14"/>
      <c r="K51" s="15"/>
    </row>
    <row r="52" ht="18.75">
      <c r="A52" s="5" t="s">
        <v>102</v>
      </c>
    </row>
    <row r="53" ht="15.75">
      <c r="A53" t="s">
        <v>147</v>
      </c>
    </row>
    <row r="54" ht="15.75">
      <c r="A54" t="s">
        <v>149</v>
      </c>
    </row>
    <row r="55" spans="1:3" ht="18.75">
      <c r="A55" s="3" t="s">
        <v>96</v>
      </c>
      <c r="B55">
        <v>32</v>
      </c>
      <c r="C55" t="s">
        <v>24</v>
      </c>
    </row>
    <row r="56" spans="1:3" ht="18.75">
      <c r="A56" s="3" t="s">
        <v>10</v>
      </c>
      <c r="B56">
        <v>11</v>
      </c>
      <c r="C56" t="s">
        <v>92</v>
      </c>
    </row>
    <row r="57" spans="1:8" ht="18.75">
      <c r="A57" t="s">
        <v>25</v>
      </c>
      <c r="D57" t="s">
        <v>82</v>
      </c>
      <c r="G57" s="8">
        <f>H29</f>
        <v>1.43184421534937</v>
      </c>
      <c r="H57" t="s">
        <v>15</v>
      </c>
    </row>
    <row r="58" spans="1:11" ht="18.75">
      <c r="A58" s="4" t="s">
        <v>27</v>
      </c>
      <c r="D58" t="s">
        <v>83</v>
      </c>
      <c r="I58" s="8"/>
      <c r="K58" s="9"/>
    </row>
    <row r="59" spans="1:11" ht="18.75">
      <c r="A59" t="s">
        <v>26</v>
      </c>
      <c r="D59" s="4" t="s">
        <v>84</v>
      </c>
      <c r="I59" s="8"/>
      <c r="K59" s="9"/>
    </row>
    <row r="61" spans="1:10" ht="15.75">
      <c r="A61" s="22" t="s">
        <v>150</v>
      </c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5.75">
      <c r="A62" s="2" t="s">
        <v>0</v>
      </c>
      <c r="B62" s="22">
        <v>10</v>
      </c>
      <c r="C62" s="22" t="s">
        <v>20</v>
      </c>
      <c r="D62" s="22">
        <v>42.03</v>
      </c>
      <c r="E62" s="22"/>
      <c r="F62" s="22"/>
      <c r="G62" s="22"/>
      <c r="H62" s="22"/>
      <c r="I62" s="22"/>
      <c r="J62" s="22"/>
    </row>
    <row r="63" spans="1:10" ht="15.75">
      <c r="A63" s="2" t="s">
        <v>1</v>
      </c>
      <c r="B63" s="22">
        <v>15</v>
      </c>
      <c r="C63" s="22" t="s">
        <v>126</v>
      </c>
      <c r="D63" s="22">
        <v>62.96</v>
      </c>
      <c r="E63" s="22"/>
      <c r="F63" s="22"/>
      <c r="G63" s="22"/>
      <c r="H63" s="22"/>
      <c r="I63" s="22"/>
      <c r="J63" s="22"/>
    </row>
    <row r="64" spans="1:4" ht="18.75">
      <c r="A64" s="3" t="s">
        <v>100</v>
      </c>
      <c r="B64" s="21">
        <f>42.03+(11-10)/(15-10)*(62.96-42.03)</f>
        <v>46.216</v>
      </c>
      <c r="C64" t="s">
        <v>24</v>
      </c>
      <c r="D64" t="s">
        <v>151</v>
      </c>
    </row>
    <row r="66" ht="15.75">
      <c r="A66" t="s">
        <v>152</v>
      </c>
    </row>
    <row r="67" spans="1:3" ht="18.75">
      <c r="A67" t="s">
        <v>98</v>
      </c>
      <c r="B67" s="17">
        <f>G57*(B33/1000-B50/1000)</f>
        <v>0.00859106529209622</v>
      </c>
      <c r="C67" t="s">
        <v>15</v>
      </c>
    </row>
    <row r="68" ht="15.75">
      <c r="A68" t="s">
        <v>153</v>
      </c>
    </row>
    <row r="69" spans="1:3" ht="18.75">
      <c r="A69" s="4" t="s">
        <v>99</v>
      </c>
      <c r="B69" s="17">
        <f>G57*(B35-B55)-B67*B64</f>
        <v>46.13789232531501</v>
      </c>
      <c r="C69" t="s">
        <v>66</v>
      </c>
    </row>
    <row r="71" ht="15.75">
      <c r="A71" s="40" t="s">
        <v>101</v>
      </c>
    </row>
    <row r="72" spans="1:15" ht="18.75">
      <c r="A72" t="s">
        <v>88</v>
      </c>
      <c r="E72" t="s">
        <v>105</v>
      </c>
      <c r="I72" s="10" t="s">
        <v>60</v>
      </c>
      <c r="J72" s="11"/>
      <c r="K72" s="11"/>
      <c r="L72" s="11"/>
      <c r="M72" s="11"/>
      <c r="N72" s="11"/>
      <c r="O72" s="12"/>
    </row>
    <row r="73" spans="5:15" ht="18.75">
      <c r="E73" s="3" t="s">
        <v>106</v>
      </c>
      <c r="F73">
        <v>43</v>
      </c>
      <c r="G73" t="s">
        <v>24</v>
      </c>
      <c r="I73" s="13" t="s">
        <v>61</v>
      </c>
      <c r="J73" s="14"/>
      <c r="K73" s="14">
        <f>1.01*22+B47/1000*(2500+1.805*22)</f>
        <v>43.1726075</v>
      </c>
      <c r="L73" s="14" t="s">
        <v>24</v>
      </c>
      <c r="M73" s="14" t="s">
        <v>62</v>
      </c>
      <c r="N73" s="14"/>
      <c r="O73" s="15"/>
    </row>
    <row r="74" ht="15.75">
      <c r="A74" t="s">
        <v>260</v>
      </c>
    </row>
    <row r="75" spans="1:7" ht="18.75">
      <c r="A75" s="4" t="s">
        <v>27</v>
      </c>
      <c r="D75" t="s">
        <v>261</v>
      </c>
      <c r="F75" t="s">
        <v>102</v>
      </c>
      <c r="G75">
        <f>B50</f>
        <v>8.25</v>
      </c>
    </row>
    <row r="76" spans="1:8" ht="18.75">
      <c r="A76" t="s">
        <v>26</v>
      </c>
      <c r="D76" s="4" t="s">
        <v>103</v>
      </c>
      <c r="F76" s="4" t="s">
        <v>104</v>
      </c>
      <c r="G76" s="8">
        <f>G57*(F73-B55)</f>
        <v>15.75028636884307</v>
      </c>
      <c r="H76" t="s">
        <v>66</v>
      </c>
    </row>
    <row r="79" ht="15.75">
      <c r="A79" t="s">
        <v>258</v>
      </c>
    </row>
    <row r="80" spans="1:4" ht="18.75">
      <c r="A80" s="5" t="s">
        <v>109</v>
      </c>
      <c r="B80" t="s">
        <v>279</v>
      </c>
      <c r="C80">
        <f>F73-B35</f>
        <v>-21.5</v>
      </c>
      <c r="D80" t="s">
        <v>111</v>
      </c>
    </row>
    <row r="81" spans="1:4" ht="17.25">
      <c r="A81" s="16" t="s">
        <v>108</v>
      </c>
      <c r="B81" t="s">
        <v>278</v>
      </c>
      <c r="C81">
        <f>G75-B33</f>
        <v>-6</v>
      </c>
      <c r="D81" t="s">
        <v>112</v>
      </c>
    </row>
    <row r="82" spans="1:4" ht="18.75">
      <c r="A82" s="5" t="s">
        <v>275</v>
      </c>
      <c r="B82" t="s">
        <v>280</v>
      </c>
      <c r="C82" s="8">
        <f>C80/C81</f>
        <v>3.5833333333333335</v>
      </c>
      <c r="D82" t="s">
        <v>110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6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110" zoomScaleNormal="110" zoomScalePageLayoutView="0" workbookViewId="0" topLeftCell="A52">
      <selection activeCell="C67" sqref="C67"/>
    </sheetView>
  </sheetViews>
  <sheetFormatPr defaultColWidth="11.00390625" defaultRowHeight="15.75"/>
  <cols>
    <col min="1" max="1" width="38.625" style="0" customWidth="1"/>
    <col min="2" max="2" width="14.00390625" style="0" customWidth="1"/>
    <col min="3" max="3" width="17.375" style="0" customWidth="1"/>
    <col min="4" max="4" width="12.375" style="0" customWidth="1"/>
    <col min="5" max="5" width="15.50390625" style="0" customWidth="1"/>
    <col min="6" max="6" width="11.00390625" style="0" customWidth="1"/>
    <col min="7" max="7" width="11.875" style="0" customWidth="1"/>
    <col min="8" max="8" width="13.875" style="0" customWidth="1"/>
  </cols>
  <sheetData>
    <row r="1" ht="15.75">
      <c r="A1" s="37" t="s">
        <v>262</v>
      </c>
    </row>
    <row r="2" ht="15.75">
      <c r="A2" s="37" t="s">
        <v>154</v>
      </c>
    </row>
    <row r="3" ht="15.75">
      <c r="A3" s="37"/>
    </row>
    <row r="4" ht="15.75">
      <c r="A4" s="37"/>
    </row>
    <row r="5" ht="15.75">
      <c r="A5" s="37"/>
    </row>
    <row r="6" ht="15.75">
      <c r="A6" s="37"/>
    </row>
    <row r="7" ht="15.75">
      <c r="A7" s="37"/>
    </row>
    <row r="8" ht="15.75">
      <c r="A8" s="37"/>
    </row>
    <row r="9" ht="15.75">
      <c r="A9" s="37"/>
    </row>
    <row r="10" spans="1:6" ht="15.75">
      <c r="A10" s="37" t="s">
        <v>155</v>
      </c>
      <c r="F10" t="s">
        <v>86</v>
      </c>
    </row>
    <row r="11" spans="1:9" ht="19.5">
      <c r="A11" t="s">
        <v>36</v>
      </c>
      <c r="B11">
        <v>3000</v>
      </c>
      <c r="C11" t="s">
        <v>34</v>
      </c>
      <c r="D11" s="8">
        <f>B11/3600</f>
        <v>0.8333333333333334</v>
      </c>
      <c r="E11" t="s">
        <v>76</v>
      </c>
      <c r="F11" t="s">
        <v>157</v>
      </c>
      <c r="I11" s="8"/>
    </row>
    <row r="12" spans="1:7" ht="18.75">
      <c r="A12" t="s">
        <v>6</v>
      </c>
      <c r="B12" s="1">
        <v>0.7</v>
      </c>
      <c r="F12" t="s">
        <v>77</v>
      </c>
      <c r="G12" s="1"/>
    </row>
    <row r="13" spans="1:6" ht="18.75">
      <c r="A13" t="s">
        <v>7</v>
      </c>
      <c r="B13" s="3" t="s">
        <v>156</v>
      </c>
      <c r="F13" t="s">
        <v>87</v>
      </c>
    </row>
    <row r="14" spans="1:2" ht="18.75">
      <c r="A14" t="s">
        <v>11</v>
      </c>
      <c r="B14" t="s">
        <v>14</v>
      </c>
    </row>
    <row r="15" spans="1:2" ht="18.75">
      <c r="A15" t="s">
        <v>10</v>
      </c>
      <c r="B15">
        <v>32</v>
      </c>
    </row>
    <row r="16" spans="1:2" ht="18.75">
      <c r="A16" t="s">
        <v>158</v>
      </c>
      <c r="B16">
        <v>20</v>
      </c>
    </row>
    <row r="17" spans="1:2" ht="18.75">
      <c r="A17" t="s">
        <v>136</v>
      </c>
      <c r="B17" s="1">
        <v>1</v>
      </c>
    </row>
    <row r="18" ht="15.75">
      <c r="A18" s="37" t="s">
        <v>267</v>
      </c>
    </row>
    <row r="19" spans="1:2" ht="15.75">
      <c r="A19" t="s">
        <v>264</v>
      </c>
      <c r="B19" t="s">
        <v>157</v>
      </c>
    </row>
    <row r="20" spans="1:2" ht="18.75">
      <c r="A20" t="s">
        <v>265</v>
      </c>
      <c r="B20" s="5" t="s">
        <v>87</v>
      </c>
    </row>
    <row r="21" spans="1:2" ht="18.75">
      <c r="A21" t="s">
        <v>266</v>
      </c>
      <c r="B21" t="s">
        <v>77</v>
      </c>
    </row>
    <row r="23" ht="15.75">
      <c r="A23" t="s">
        <v>268</v>
      </c>
    </row>
    <row r="24" spans="1:3" ht="19.5">
      <c r="A24" t="s">
        <v>11</v>
      </c>
      <c r="B24">
        <f>0.808</f>
        <v>0.808</v>
      </c>
      <c r="C24" t="s">
        <v>16</v>
      </c>
    </row>
    <row r="25" spans="1:8" ht="15.75">
      <c r="A25" s="5" t="s">
        <v>35</v>
      </c>
      <c r="H25" s="8"/>
    </row>
    <row r="26" spans="1:8" ht="18.75">
      <c r="A26" s="3" t="s">
        <v>38</v>
      </c>
      <c r="B26" t="s">
        <v>39</v>
      </c>
      <c r="E26" s="8"/>
      <c r="H26" s="8"/>
    </row>
    <row r="27" spans="1:8" ht="15.75">
      <c r="A27" s="5"/>
      <c r="B27" s="3"/>
      <c r="E27" s="8"/>
      <c r="H27" s="8"/>
    </row>
    <row r="28" spans="1:3" ht="18.75">
      <c r="A28" s="3" t="s">
        <v>38</v>
      </c>
      <c r="B28" s="18">
        <f>D11/B24</f>
        <v>1.0313531353135312</v>
      </c>
      <c r="C28" t="s">
        <v>15</v>
      </c>
    </row>
    <row r="30" ht="15.75">
      <c r="A30" t="s">
        <v>159</v>
      </c>
    </row>
    <row r="31" spans="1:3" ht="18.75">
      <c r="A31" t="s">
        <v>18</v>
      </c>
      <c r="B31">
        <v>5.4</v>
      </c>
      <c r="C31" t="s">
        <v>23</v>
      </c>
    </row>
    <row r="32" spans="1:3" ht="18.75">
      <c r="A32" t="s">
        <v>160</v>
      </c>
      <c r="B32">
        <v>5.4</v>
      </c>
      <c r="C32" t="s">
        <v>23</v>
      </c>
    </row>
    <row r="34" spans="1:6" ht="15.75">
      <c r="A34" t="s">
        <v>45</v>
      </c>
      <c r="F34" s="5"/>
    </row>
    <row r="35" spans="1:3" ht="18.75">
      <c r="A35" t="s">
        <v>21</v>
      </c>
      <c r="B35">
        <v>23.6</v>
      </c>
      <c r="C35" t="s">
        <v>24</v>
      </c>
    </row>
    <row r="36" spans="1:3" ht="18.75">
      <c r="A36" t="s">
        <v>22</v>
      </c>
      <c r="B36">
        <v>46</v>
      </c>
      <c r="C36" t="s">
        <v>24</v>
      </c>
    </row>
    <row r="38" ht="15.75">
      <c r="A38" t="s">
        <v>161</v>
      </c>
    </row>
    <row r="40" ht="18.75">
      <c r="A40" t="s">
        <v>162</v>
      </c>
    </row>
    <row r="41" spans="1:6" ht="18.75">
      <c r="A41" s="23" t="s">
        <v>163</v>
      </c>
      <c r="B41" t="s">
        <v>164</v>
      </c>
      <c r="D41" t="s">
        <v>167</v>
      </c>
      <c r="E41" s="5">
        <f>B32</f>
        <v>5.4</v>
      </c>
      <c r="F41" t="s">
        <v>23</v>
      </c>
    </row>
    <row r="42" spans="1:6" ht="18.75">
      <c r="A42" s="23" t="s">
        <v>165</v>
      </c>
      <c r="B42" t="s">
        <v>166</v>
      </c>
      <c r="D42" s="4" t="s">
        <v>168</v>
      </c>
      <c r="E42" s="5">
        <f>B36</f>
        <v>46</v>
      </c>
      <c r="F42" t="s">
        <v>24</v>
      </c>
    </row>
    <row r="43" ht="15.75">
      <c r="E43" s="5"/>
    </row>
    <row r="44" spans="1:5" ht="15.75">
      <c r="A44" s="23" t="s">
        <v>171</v>
      </c>
      <c r="E44" s="5"/>
    </row>
    <row r="45" spans="1:5" ht="15.75">
      <c r="A45" s="23" t="s">
        <v>172</v>
      </c>
      <c r="E45" s="5"/>
    </row>
    <row r="46" spans="1:5" ht="15.75">
      <c r="A46" s="23" t="s">
        <v>173</v>
      </c>
      <c r="E46" s="5"/>
    </row>
    <row r="47" spans="1:5" ht="18.75">
      <c r="A47" t="s">
        <v>145</v>
      </c>
      <c r="B47">
        <v>11.7</v>
      </c>
      <c r="C47" t="s">
        <v>23</v>
      </c>
      <c r="E47" s="5"/>
    </row>
    <row r="48" spans="1:10" ht="15.75">
      <c r="A48" s="93" t="s">
        <v>170</v>
      </c>
      <c r="B48" s="94"/>
      <c r="C48" s="94"/>
      <c r="D48" s="94"/>
      <c r="E48" s="94"/>
      <c r="F48" s="94"/>
      <c r="G48" s="94"/>
      <c r="H48" s="94"/>
      <c r="I48" s="94"/>
      <c r="J48" s="94"/>
    </row>
    <row r="49" spans="1:10" ht="15.75">
      <c r="A49" s="2"/>
      <c r="B49" s="22"/>
      <c r="C49" s="22"/>
      <c r="D49" s="22"/>
      <c r="E49" s="22"/>
      <c r="F49" s="22"/>
      <c r="G49" s="22"/>
      <c r="H49" s="22"/>
      <c r="I49" s="22"/>
      <c r="J49" s="22"/>
    </row>
    <row r="50" spans="1:6" ht="18.75">
      <c r="A50" t="s">
        <v>169</v>
      </c>
      <c r="D50" s="5" t="s">
        <v>100</v>
      </c>
      <c r="E50">
        <v>88.86</v>
      </c>
      <c r="F50" t="s">
        <v>24</v>
      </c>
    </row>
    <row r="51" spans="1:5" ht="15.75">
      <c r="A51" s="23"/>
      <c r="D51" s="4"/>
      <c r="E51" s="5"/>
    </row>
    <row r="52" ht="15.75">
      <c r="A52" t="s">
        <v>117</v>
      </c>
    </row>
    <row r="54" spans="1:7" ht="18.75">
      <c r="A54" t="s">
        <v>54</v>
      </c>
      <c r="B54" t="s">
        <v>56</v>
      </c>
      <c r="D54" t="s">
        <v>55</v>
      </c>
      <c r="F54" s="3"/>
      <c r="G54" s="8"/>
    </row>
    <row r="56" spans="1:6" ht="18.75">
      <c r="A56" t="s">
        <v>118</v>
      </c>
      <c r="B56" s="3" t="s">
        <v>52</v>
      </c>
      <c r="C56" t="s">
        <v>119</v>
      </c>
      <c r="D56" s="7">
        <f>B28*(B47-E41)/1000</f>
        <v>0.006497524752475246</v>
      </c>
      <c r="E56" t="s">
        <v>15</v>
      </c>
      <c r="F56" s="3"/>
    </row>
    <row r="58" spans="1:5" ht="18.75">
      <c r="A58" t="s">
        <v>174</v>
      </c>
      <c r="B58" s="3" t="s">
        <v>52</v>
      </c>
      <c r="C58" t="s">
        <v>175</v>
      </c>
      <c r="D58" s="8">
        <f>B28*(E42-B35)-D56*E50</f>
        <v>22.524940181518147</v>
      </c>
      <c r="E58" t="s">
        <v>66</v>
      </c>
    </row>
    <row r="60" ht="15.75">
      <c r="A60" t="s">
        <v>308</v>
      </c>
    </row>
    <row r="61" spans="1:2" ht="18.75">
      <c r="A61" t="s">
        <v>77</v>
      </c>
      <c r="B61" t="s">
        <v>312</v>
      </c>
    </row>
    <row r="64" ht="15.75">
      <c r="A64" s="5" t="s">
        <v>248</v>
      </c>
    </row>
    <row r="65" spans="1:4" ht="18.75">
      <c r="A65" s="5" t="s">
        <v>109</v>
      </c>
      <c r="B65" t="s">
        <v>279</v>
      </c>
      <c r="C65" s="8">
        <f>E42-B35</f>
        <v>22.4</v>
      </c>
      <c r="D65" t="s">
        <v>111</v>
      </c>
    </row>
    <row r="66" spans="1:4" ht="17.25">
      <c r="A66" s="16" t="s">
        <v>108</v>
      </c>
      <c r="B66" t="s">
        <v>278</v>
      </c>
      <c r="C66" s="8">
        <f>B47-B31</f>
        <v>6.299999999999999</v>
      </c>
      <c r="D66" t="s">
        <v>112</v>
      </c>
    </row>
    <row r="67" spans="1:4" ht="18.75">
      <c r="A67" s="5" t="s">
        <v>275</v>
      </c>
      <c r="B67" t="s">
        <v>280</v>
      </c>
      <c r="C67" s="8">
        <f>C65/C66</f>
        <v>3.555555555555556</v>
      </c>
      <c r="D67" t="s">
        <v>110</v>
      </c>
    </row>
  </sheetData>
  <sheetProtection/>
  <mergeCells count="1">
    <mergeCell ref="A48:J48"/>
  </mergeCells>
  <printOptions/>
  <pageMargins left="0.75" right="0.75" top="1" bottom="1" header="0.5" footer="0.5"/>
  <pageSetup fitToHeight="0" fitToWidth="1" horizontalDpi="600" verticalDpi="600" orientation="landscape" paperSize="9" scale="77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="106" zoomScaleNormal="106" zoomScalePageLayoutView="0" workbookViewId="0" topLeftCell="A53">
      <selection activeCell="H63" sqref="H63"/>
    </sheetView>
  </sheetViews>
  <sheetFormatPr defaultColWidth="11.00390625" defaultRowHeight="15.75"/>
  <cols>
    <col min="1" max="1" width="12.375" style="0" customWidth="1"/>
    <col min="2" max="2" width="12.00390625" style="0" customWidth="1"/>
    <col min="3" max="4" width="11.00390625" style="0" customWidth="1"/>
    <col min="5" max="5" width="16.00390625" style="0" customWidth="1"/>
    <col min="6" max="6" width="18.50390625" style="0" customWidth="1"/>
    <col min="7" max="7" width="11.875" style="0" customWidth="1"/>
    <col min="8" max="8" width="13.875" style="0" customWidth="1"/>
  </cols>
  <sheetData>
    <row r="1" ht="15.75">
      <c r="A1" s="37" t="s">
        <v>304</v>
      </c>
    </row>
    <row r="2" ht="15.75">
      <c r="A2" s="37"/>
    </row>
    <row r="3" ht="15.75">
      <c r="A3" s="37"/>
    </row>
    <row r="4" ht="15.75">
      <c r="A4" s="37"/>
    </row>
    <row r="5" ht="15.75">
      <c r="A5" s="37"/>
    </row>
    <row r="6" ht="15.75">
      <c r="A6" s="37"/>
    </row>
    <row r="7" ht="15.75">
      <c r="A7" s="37"/>
    </row>
    <row r="8" ht="15.75">
      <c r="A8" s="37"/>
    </row>
    <row r="9" ht="15.75">
      <c r="A9" s="37"/>
    </row>
    <row r="10" ht="15.75">
      <c r="A10" s="37" t="s">
        <v>309</v>
      </c>
    </row>
    <row r="11" ht="15.75">
      <c r="A11" s="37" t="s">
        <v>86</v>
      </c>
    </row>
    <row r="12" ht="18.75">
      <c r="A12" t="s">
        <v>89</v>
      </c>
    </row>
    <row r="13" ht="18.75">
      <c r="A13" t="s">
        <v>87</v>
      </c>
    </row>
    <row r="14" ht="18.75">
      <c r="A14" t="s">
        <v>88</v>
      </c>
    </row>
    <row r="16" ht="15.75">
      <c r="A16" t="s">
        <v>80</v>
      </c>
    </row>
    <row r="17" spans="1:9" ht="19.5">
      <c r="A17" t="s">
        <v>36</v>
      </c>
      <c r="B17">
        <v>1500</v>
      </c>
      <c r="C17" t="s">
        <v>34</v>
      </c>
      <c r="D17" s="8">
        <f>B17/3600</f>
        <v>0.4166666666666667</v>
      </c>
      <c r="E17" t="s">
        <v>76</v>
      </c>
      <c r="I17" s="8"/>
    </row>
    <row r="18" spans="1:2" ht="18.75">
      <c r="A18" t="s">
        <v>6</v>
      </c>
      <c r="B18" s="1">
        <v>0.6</v>
      </c>
    </row>
    <row r="19" spans="1:2" ht="18.75">
      <c r="A19" t="s">
        <v>7</v>
      </c>
      <c r="B19" s="3" t="s">
        <v>176</v>
      </c>
    </row>
    <row r="20" spans="1:2" ht="18.75">
      <c r="A20" t="s">
        <v>11</v>
      </c>
      <c r="B20" t="s">
        <v>14</v>
      </c>
    </row>
    <row r="22" ht="15.75">
      <c r="A22" t="s">
        <v>91</v>
      </c>
    </row>
    <row r="23" spans="1:3" ht="18.75">
      <c r="A23" t="s">
        <v>10</v>
      </c>
      <c r="B23">
        <v>13</v>
      </c>
      <c r="C23" t="s">
        <v>92</v>
      </c>
    </row>
    <row r="24" ht="15.75">
      <c r="A24" t="s">
        <v>120</v>
      </c>
    </row>
    <row r="25" spans="1:10" ht="19.5">
      <c r="A25" t="s">
        <v>11</v>
      </c>
      <c r="B25" s="7">
        <v>0.898</v>
      </c>
      <c r="C25" t="s">
        <v>16</v>
      </c>
      <c r="D25" s="5" t="s">
        <v>35</v>
      </c>
      <c r="F25" s="3" t="s">
        <v>38</v>
      </c>
      <c r="G25" t="s">
        <v>39</v>
      </c>
      <c r="H25" s="8">
        <f>B17/3600/B25</f>
        <v>0.4639940608760208</v>
      </c>
      <c r="I25" t="s">
        <v>15</v>
      </c>
      <c r="J25" t="s">
        <v>15</v>
      </c>
    </row>
    <row r="26" ht="15.75">
      <c r="J26" s="5"/>
    </row>
    <row r="28" ht="15.75">
      <c r="A28" t="s">
        <v>81</v>
      </c>
    </row>
    <row r="29" spans="1:3" ht="18.75">
      <c r="A29" t="s">
        <v>18</v>
      </c>
      <c r="B29">
        <v>20.3</v>
      </c>
      <c r="C29" t="s">
        <v>23</v>
      </c>
    </row>
    <row r="30" spans="1:13" ht="15.75">
      <c r="A30" t="s">
        <v>45</v>
      </c>
      <c r="F30" s="5"/>
      <c r="G30" s="24"/>
      <c r="H30" s="24"/>
      <c r="I30" s="24"/>
      <c r="J30" s="24"/>
      <c r="K30" s="24"/>
      <c r="L30" s="24"/>
      <c r="M30" s="24"/>
    </row>
    <row r="31" spans="1:13" ht="18.75">
      <c r="A31" t="s">
        <v>21</v>
      </c>
      <c r="B31">
        <v>86.5</v>
      </c>
      <c r="C31" t="s">
        <v>24</v>
      </c>
      <c r="G31" s="24"/>
      <c r="H31" s="24"/>
      <c r="I31" s="24"/>
      <c r="J31" s="24"/>
      <c r="K31" s="24"/>
      <c r="L31" s="24"/>
      <c r="M31" s="24"/>
    </row>
    <row r="33" ht="15.75">
      <c r="A33" t="s">
        <v>93</v>
      </c>
    </row>
    <row r="34" ht="15.75">
      <c r="A34" t="s">
        <v>85</v>
      </c>
    </row>
    <row r="35" ht="15.75">
      <c r="A35" t="s">
        <v>94</v>
      </c>
    </row>
    <row r="36" spans="1:11" ht="18.75">
      <c r="A36" t="s">
        <v>95</v>
      </c>
      <c r="B36">
        <v>9.4</v>
      </c>
      <c r="C36" t="s">
        <v>23</v>
      </c>
      <c r="D36" t="s">
        <v>97</v>
      </c>
      <c r="E36" s="10" t="s">
        <v>60</v>
      </c>
      <c r="F36" s="11"/>
      <c r="G36" s="11"/>
      <c r="H36" s="11"/>
      <c r="I36" s="11"/>
      <c r="J36" s="11"/>
      <c r="K36" s="12"/>
    </row>
    <row r="37" spans="1:11" ht="18.75">
      <c r="A37" t="s">
        <v>96</v>
      </c>
      <c r="B37">
        <v>37</v>
      </c>
      <c r="C37" t="s">
        <v>24</v>
      </c>
      <c r="E37" s="13" t="s">
        <v>61</v>
      </c>
      <c r="F37" s="14"/>
      <c r="G37" s="14">
        <f>1.01*13+B36/1000*(2500+1.805*13)</f>
        <v>36.850571</v>
      </c>
      <c r="H37" s="14" t="s">
        <v>24</v>
      </c>
      <c r="I37" s="14" t="s">
        <v>62</v>
      </c>
      <c r="J37" s="14"/>
      <c r="K37" s="15"/>
    </row>
    <row r="39" spans="1:8" ht="18.75">
      <c r="A39" t="s">
        <v>25</v>
      </c>
      <c r="D39" t="s">
        <v>82</v>
      </c>
      <c r="G39" s="8">
        <f>H25</f>
        <v>0.4639940608760208</v>
      </c>
      <c r="H39" t="s">
        <v>15</v>
      </c>
    </row>
    <row r="40" spans="1:11" ht="18.75">
      <c r="A40" s="4" t="s">
        <v>27</v>
      </c>
      <c r="D40" t="s">
        <v>83</v>
      </c>
      <c r="F40" t="s">
        <v>98</v>
      </c>
      <c r="G40" s="17">
        <f>G39*(B29/1000-B36/1000)</f>
        <v>0.0050575352635486275</v>
      </c>
      <c r="H40" t="s">
        <v>15</v>
      </c>
      <c r="I40" s="8" t="s">
        <v>180</v>
      </c>
      <c r="K40" s="9"/>
    </row>
    <row r="41" spans="1:11" ht="18.75">
      <c r="A41" t="s">
        <v>26</v>
      </c>
      <c r="D41" s="4" t="s">
        <v>84</v>
      </c>
      <c r="F41" s="4" t="s">
        <v>99</v>
      </c>
      <c r="G41" s="17">
        <f>G39*(B31-B37)-G40*B44</f>
        <v>22.691625278396437</v>
      </c>
      <c r="H41" t="s">
        <v>66</v>
      </c>
      <c r="I41" s="8" t="s">
        <v>181</v>
      </c>
      <c r="K41" s="9"/>
    </row>
    <row r="43" spans="1:10" ht="15.75">
      <c r="A43" s="93" t="s">
        <v>177</v>
      </c>
      <c r="B43" s="94"/>
      <c r="C43" s="94"/>
      <c r="D43" s="94"/>
      <c r="E43" s="94"/>
      <c r="F43" s="94"/>
      <c r="G43" s="94"/>
      <c r="H43" s="94"/>
      <c r="I43" s="94"/>
      <c r="J43" s="94"/>
    </row>
    <row r="44" spans="1:10" ht="18.75">
      <c r="A44" s="3" t="s">
        <v>100</v>
      </c>
      <c r="B44" s="21">
        <f>H46</f>
        <v>54.588</v>
      </c>
      <c r="C44" t="s">
        <v>24</v>
      </c>
      <c r="D44" t="s">
        <v>178</v>
      </c>
      <c r="G44" s="2" t="s">
        <v>0</v>
      </c>
      <c r="H44" s="22">
        <v>10</v>
      </c>
      <c r="I44" s="22" t="s">
        <v>20</v>
      </c>
      <c r="J44" s="22">
        <v>42.03</v>
      </c>
    </row>
    <row r="45" spans="7:10" ht="15.75">
      <c r="G45" s="2" t="s">
        <v>1</v>
      </c>
      <c r="H45" s="22">
        <v>15</v>
      </c>
      <c r="I45" s="22" t="s">
        <v>126</v>
      </c>
      <c r="J45" s="22">
        <v>62.96</v>
      </c>
    </row>
    <row r="46" spans="7:10" ht="18.75">
      <c r="G46" s="3" t="s">
        <v>100</v>
      </c>
      <c r="H46" s="21">
        <f>42.03+(13-10)/(15-10)*(62.96-42.03)</f>
        <v>54.588</v>
      </c>
      <c r="I46" t="s">
        <v>24</v>
      </c>
      <c r="J46" t="s">
        <v>178</v>
      </c>
    </row>
    <row r="48" ht="15.75">
      <c r="A48" t="s">
        <v>183</v>
      </c>
    </row>
    <row r="49" ht="15.75">
      <c r="A49" t="s">
        <v>186</v>
      </c>
    </row>
    <row r="50" ht="15.75">
      <c r="A50" t="s">
        <v>179</v>
      </c>
    </row>
    <row r="51" spans="1:6" ht="15.75">
      <c r="A51" t="s">
        <v>184</v>
      </c>
      <c r="F51" t="s">
        <v>185</v>
      </c>
    </row>
    <row r="52" spans="1:10" ht="19.5">
      <c r="A52" t="s">
        <v>187</v>
      </c>
      <c r="B52" s="8">
        <f>D17</f>
        <v>0.4166666666666667</v>
      </c>
      <c r="C52" t="s">
        <v>76</v>
      </c>
      <c r="D52" s="8"/>
      <c r="F52" t="s">
        <v>188</v>
      </c>
      <c r="G52">
        <v>800</v>
      </c>
      <c r="H52" t="s">
        <v>34</v>
      </c>
      <c r="I52">
        <f>G52/3600</f>
        <v>0.2222222222222222</v>
      </c>
      <c r="J52" t="s">
        <v>76</v>
      </c>
    </row>
    <row r="53" spans="1:8" ht="18.75">
      <c r="A53" t="s">
        <v>9</v>
      </c>
      <c r="B53" s="1">
        <v>1</v>
      </c>
      <c r="F53" t="s">
        <v>136</v>
      </c>
      <c r="G53">
        <v>70</v>
      </c>
      <c r="H53" t="s">
        <v>182</v>
      </c>
    </row>
    <row r="54" spans="1:7" ht="18.75">
      <c r="A54" t="s">
        <v>10</v>
      </c>
      <c r="B54" s="3" t="s">
        <v>191</v>
      </c>
      <c r="F54" t="s">
        <v>77</v>
      </c>
      <c r="G54" t="s">
        <v>192</v>
      </c>
    </row>
    <row r="55" spans="1:8" ht="19.5">
      <c r="A55" t="s">
        <v>12</v>
      </c>
      <c r="B55" s="7">
        <v>0.822</v>
      </c>
      <c r="F55" t="s">
        <v>189</v>
      </c>
      <c r="G55">
        <v>0.859</v>
      </c>
      <c r="H55" t="s">
        <v>16</v>
      </c>
    </row>
    <row r="56" spans="1:8" ht="18.75">
      <c r="A56" t="s">
        <v>95</v>
      </c>
      <c r="B56">
        <v>9.4</v>
      </c>
      <c r="C56" t="s">
        <v>23</v>
      </c>
      <c r="F56" t="s">
        <v>145</v>
      </c>
      <c r="G56">
        <v>13.2</v>
      </c>
      <c r="H56" t="s">
        <v>23</v>
      </c>
    </row>
    <row r="57" spans="1:8" ht="18.75">
      <c r="A57" t="s">
        <v>2</v>
      </c>
      <c r="B57" s="8">
        <f>B52/B55</f>
        <v>0.5068937550689376</v>
      </c>
      <c r="C57" t="s">
        <v>15</v>
      </c>
      <c r="F57" t="s">
        <v>190</v>
      </c>
      <c r="G57" s="8">
        <f>I52/G55</f>
        <v>0.2586987453110852</v>
      </c>
      <c r="H57" t="s">
        <v>15</v>
      </c>
    </row>
    <row r="58" spans="1:8" ht="18.75">
      <c r="A58" t="s">
        <v>96</v>
      </c>
      <c r="B58">
        <v>37</v>
      </c>
      <c r="C58" t="s">
        <v>24</v>
      </c>
      <c r="F58" t="s">
        <v>106</v>
      </c>
      <c r="G58">
        <v>57</v>
      </c>
      <c r="H58" t="s">
        <v>24</v>
      </c>
    </row>
    <row r="59" ht="18.75"/>
    <row r="60" ht="15.75">
      <c r="A60" t="s">
        <v>29</v>
      </c>
    </row>
    <row r="62" spans="1:9" ht="18.75">
      <c r="A62" t="s">
        <v>25</v>
      </c>
      <c r="D62" t="s">
        <v>193</v>
      </c>
      <c r="G62" s="5" t="s">
        <v>196</v>
      </c>
      <c r="H62" s="8">
        <f>G57+B57</f>
        <v>0.7655925003800228</v>
      </c>
      <c r="I62" t="s">
        <v>15</v>
      </c>
    </row>
    <row r="63" spans="1:11" ht="18.75">
      <c r="A63" s="4" t="s">
        <v>27</v>
      </c>
      <c r="D63" t="s">
        <v>194</v>
      </c>
      <c r="F63" s="5" t="s">
        <v>197</v>
      </c>
      <c r="H63" s="8">
        <f>(B57*B56+G56*G57)/H62</f>
        <v>10.684045013103129</v>
      </c>
      <c r="I63" t="s">
        <v>23</v>
      </c>
      <c r="K63" s="9"/>
    </row>
    <row r="64" spans="1:11" ht="18.75">
      <c r="A64" t="s">
        <v>26</v>
      </c>
      <c r="D64" t="s">
        <v>195</v>
      </c>
      <c r="F64" s="41" t="s">
        <v>198</v>
      </c>
      <c r="H64" s="8">
        <f>(B57*B37+G57*59.5)/H62</f>
        <v>44.60289810390011</v>
      </c>
      <c r="I64" t="s">
        <v>24</v>
      </c>
      <c r="K64" s="9"/>
    </row>
    <row r="66" spans="8:19" ht="15.75"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8:19" ht="15.75"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</sheetData>
  <sheetProtection/>
  <mergeCells count="1">
    <mergeCell ref="A43:J43"/>
  </mergeCells>
  <printOptions/>
  <pageMargins left="0.75" right="0.75" top="1" bottom="1" header="0.5" footer="0.5"/>
  <pageSetup fitToHeight="0" fitToWidth="1" horizontalDpi="600" verticalDpi="600" orientation="landscape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110" zoomScaleNormal="110" zoomScalePageLayoutView="0" workbookViewId="0" topLeftCell="A1">
      <selection activeCell="D2" sqref="D2"/>
    </sheetView>
  </sheetViews>
  <sheetFormatPr defaultColWidth="11.00390625" defaultRowHeight="15.75"/>
  <cols>
    <col min="1" max="1" width="18.50390625" style="0" customWidth="1"/>
    <col min="2" max="2" width="13.375" style="0" customWidth="1"/>
    <col min="3" max="3" width="19.50390625" style="0" customWidth="1"/>
    <col min="4" max="4" width="12.375" style="0" customWidth="1"/>
    <col min="5" max="5" width="16.00390625" style="0" customWidth="1"/>
    <col min="6" max="6" width="11.00390625" style="0" customWidth="1"/>
    <col min="7" max="7" width="11.875" style="0" customWidth="1"/>
    <col min="8" max="8" width="13.875" style="0" customWidth="1"/>
  </cols>
  <sheetData>
    <row r="1" ht="15.75">
      <c r="A1" s="37" t="s">
        <v>263</v>
      </c>
    </row>
    <row r="2" ht="15.75">
      <c r="A2" s="37" t="s">
        <v>314</v>
      </c>
    </row>
    <row r="3" ht="15.75">
      <c r="A3" s="37"/>
    </row>
    <row r="4" ht="15.75">
      <c r="A4" s="37"/>
    </row>
    <row r="5" ht="15.75">
      <c r="A5" s="37"/>
    </row>
    <row r="6" ht="15.75">
      <c r="A6" s="37"/>
    </row>
    <row r="7" ht="15.75">
      <c r="A7" s="37"/>
    </row>
    <row r="8" ht="15.75">
      <c r="A8" s="37"/>
    </row>
    <row r="9" ht="15.75">
      <c r="A9" s="37"/>
    </row>
    <row r="11" spans="1:6" ht="15.75">
      <c r="A11" s="40" t="s">
        <v>5</v>
      </c>
      <c r="F11" s="40" t="s">
        <v>8</v>
      </c>
    </row>
    <row r="12" spans="1:10" ht="19.5">
      <c r="A12" t="s">
        <v>36</v>
      </c>
      <c r="B12">
        <v>4000</v>
      </c>
      <c r="C12" t="s">
        <v>34</v>
      </c>
      <c r="D12" s="8">
        <f>B12/3600</f>
        <v>1.1111111111111112</v>
      </c>
      <c r="E12" t="s">
        <v>76</v>
      </c>
      <c r="F12" t="s">
        <v>37</v>
      </c>
      <c r="G12">
        <v>2500</v>
      </c>
      <c r="H12" t="s">
        <v>34</v>
      </c>
      <c r="I12" s="8">
        <f>G12/3600</f>
        <v>0.6944444444444444</v>
      </c>
      <c r="J12" t="s">
        <v>76</v>
      </c>
    </row>
    <row r="13" spans="1:7" ht="18.75">
      <c r="A13" t="s">
        <v>6</v>
      </c>
      <c r="B13" s="1">
        <v>0.7</v>
      </c>
      <c r="F13" t="s">
        <v>9</v>
      </c>
      <c r="G13" s="1">
        <v>0.6</v>
      </c>
    </row>
    <row r="14" spans="1:7" ht="18.75">
      <c r="A14" t="s">
        <v>7</v>
      </c>
      <c r="B14" s="3" t="s">
        <v>114</v>
      </c>
      <c r="F14" t="s">
        <v>10</v>
      </c>
      <c r="G14">
        <v>24</v>
      </c>
    </row>
    <row r="15" spans="1:7" ht="18.75">
      <c r="A15" t="s">
        <v>11</v>
      </c>
      <c r="B15" t="s">
        <v>14</v>
      </c>
      <c r="F15" t="s">
        <v>12</v>
      </c>
      <c r="G15" t="s">
        <v>14</v>
      </c>
    </row>
    <row r="17" ht="15.75">
      <c r="A17" t="s">
        <v>269</v>
      </c>
    </row>
    <row r="19" ht="15.75">
      <c r="A19" s="37" t="s">
        <v>86</v>
      </c>
    </row>
    <row r="20" spans="1:4" ht="18.75">
      <c r="A20" s="37" t="s">
        <v>199</v>
      </c>
      <c r="D20" t="s">
        <v>270</v>
      </c>
    </row>
    <row r="21" spans="1:4" ht="18.75">
      <c r="A21" s="37" t="s">
        <v>200</v>
      </c>
      <c r="D21" t="s">
        <v>271</v>
      </c>
    </row>
    <row r="22" spans="1:4" ht="18.75">
      <c r="A22" s="37" t="s">
        <v>201</v>
      </c>
      <c r="D22" t="s">
        <v>272</v>
      </c>
    </row>
    <row r="24" ht="15.75">
      <c r="A24" t="s">
        <v>115</v>
      </c>
    </row>
    <row r="25" spans="1:10" ht="19.5">
      <c r="A25" t="s">
        <v>11</v>
      </c>
      <c r="B25">
        <f>0.792</f>
        <v>0.792</v>
      </c>
      <c r="C25" t="s">
        <v>16</v>
      </c>
      <c r="D25" s="5" t="s">
        <v>35</v>
      </c>
      <c r="F25" s="3" t="s">
        <v>38</v>
      </c>
      <c r="G25" t="s">
        <v>39</v>
      </c>
      <c r="H25" s="8">
        <f>B12/3600/B25</f>
        <v>1.4029180695847363</v>
      </c>
      <c r="I25" t="s">
        <v>15</v>
      </c>
      <c r="J25" t="s">
        <v>15</v>
      </c>
    </row>
    <row r="26" spans="1:10" ht="19.5">
      <c r="A26" t="s">
        <v>12</v>
      </c>
      <c r="B26">
        <v>0.857</v>
      </c>
      <c r="C26" t="s">
        <v>16</v>
      </c>
      <c r="D26" s="5" t="s">
        <v>35</v>
      </c>
      <c r="F26" s="3" t="s">
        <v>41</v>
      </c>
      <c r="G26" t="s">
        <v>40</v>
      </c>
      <c r="H26" s="8">
        <f>G12/3600/B26</f>
        <v>0.8103202385582782</v>
      </c>
      <c r="I26" t="s">
        <v>15</v>
      </c>
      <c r="J26" t="s">
        <v>15</v>
      </c>
    </row>
    <row r="28" spans="1:3" ht="18.75">
      <c r="A28" s="3" t="s">
        <v>38</v>
      </c>
      <c r="B28" s="18">
        <f>H25</f>
        <v>1.4029180695847363</v>
      </c>
      <c r="C28" t="s">
        <v>15</v>
      </c>
    </row>
    <row r="29" spans="1:3" ht="18.75">
      <c r="A29" s="3" t="s">
        <v>41</v>
      </c>
      <c r="B29" s="18">
        <f>H26</f>
        <v>0.8103202385582782</v>
      </c>
      <c r="C29" t="s">
        <v>15</v>
      </c>
    </row>
    <row r="31" ht="15.75">
      <c r="A31" t="s">
        <v>44</v>
      </c>
    </row>
    <row r="32" spans="1:3" ht="18.75">
      <c r="A32" t="s">
        <v>18</v>
      </c>
      <c r="B32">
        <v>3.8</v>
      </c>
      <c r="C32" t="s">
        <v>23</v>
      </c>
    </row>
    <row r="33" spans="1:3" ht="18.75">
      <c r="A33" t="s">
        <v>19</v>
      </c>
      <c r="B33">
        <v>11.4</v>
      </c>
      <c r="C33" t="s">
        <v>23</v>
      </c>
    </row>
    <row r="34" spans="1:11" ht="15.75">
      <c r="A34" t="s">
        <v>45</v>
      </c>
      <c r="E34" s="10" t="s">
        <v>60</v>
      </c>
      <c r="F34" s="11"/>
      <c r="G34" s="11"/>
      <c r="H34" s="11"/>
      <c r="I34" s="11"/>
      <c r="J34" s="11"/>
      <c r="K34" s="12"/>
    </row>
    <row r="35" spans="1:11" ht="18.75">
      <c r="A35" t="s">
        <v>21</v>
      </c>
      <c r="B35">
        <v>15</v>
      </c>
      <c r="C35" t="s">
        <v>24</v>
      </c>
      <c r="E35" s="13" t="s">
        <v>61</v>
      </c>
      <c r="F35" s="14"/>
      <c r="G35" s="14">
        <f>1.01*24+B33/1000*(2500+1.805*24)</f>
        <v>53.23384800000001</v>
      </c>
      <c r="H35" s="14" t="s">
        <v>24</v>
      </c>
      <c r="I35" s="14" t="s">
        <v>62</v>
      </c>
      <c r="J35" s="14"/>
      <c r="K35" s="15"/>
    </row>
    <row r="36" spans="1:3" ht="18.75">
      <c r="A36" t="s">
        <v>22</v>
      </c>
      <c r="B36">
        <v>53</v>
      </c>
      <c r="C36" t="s">
        <v>24</v>
      </c>
    </row>
    <row r="38" ht="15.75">
      <c r="A38" t="s">
        <v>47</v>
      </c>
    </row>
    <row r="39" ht="15.75">
      <c r="A39" t="s">
        <v>29</v>
      </c>
    </row>
    <row r="41" spans="1:10" ht="18.75">
      <c r="A41" t="s">
        <v>25</v>
      </c>
      <c r="D41" t="s">
        <v>28</v>
      </c>
      <c r="G41" t="s">
        <v>43</v>
      </c>
      <c r="I41" s="8">
        <f>H25+H26</f>
        <v>2.2132383081430147</v>
      </c>
      <c r="J41" t="s">
        <v>15</v>
      </c>
    </row>
    <row r="42" spans="1:12" ht="18.75">
      <c r="A42" s="4" t="s">
        <v>27</v>
      </c>
      <c r="D42" t="s">
        <v>30</v>
      </c>
      <c r="G42" t="s">
        <v>32</v>
      </c>
      <c r="I42" s="8">
        <f>(B32*H25+H26*B33)/I41</f>
        <v>6.582544378698224</v>
      </c>
      <c r="J42" t="s">
        <v>23</v>
      </c>
      <c r="K42" s="19">
        <f>I42</f>
        <v>6.582544378698224</v>
      </c>
      <c r="L42" t="s">
        <v>23</v>
      </c>
    </row>
    <row r="43" spans="1:12" ht="18.75">
      <c r="A43" t="s">
        <v>26</v>
      </c>
      <c r="D43" t="s">
        <v>31</v>
      </c>
      <c r="G43" s="4" t="s">
        <v>33</v>
      </c>
      <c r="I43" s="8">
        <f>(B28*B35+B29*B36)/I41</f>
        <v>28.91272189349112</v>
      </c>
      <c r="J43" t="s">
        <v>24</v>
      </c>
      <c r="K43" s="19">
        <f>I43</f>
        <v>28.91272189349112</v>
      </c>
      <c r="L43" t="s">
        <v>24</v>
      </c>
    </row>
    <row r="46" ht="18.75">
      <c r="A46" t="s">
        <v>46</v>
      </c>
    </row>
    <row r="47" spans="1:2" ht="18.75">
      <c r="A47" t="s">
        <v>77</v>
      </c>
      <c r="B47" t="s">
        <v>202</v>
      </c>
    </row>
    <row r="49" spans="1:3" ht="15.75">
      <c r="A49" t="s">
        <v>203</v>
      </c>
      <c r="B49" s="25" t="s">
        <v>204</v>
      </c>
      <c r="C49" s="23"/>
    </row>
    <row r="51" ht="18.75">
      <c r="A51" t="s">
        <v>216</v>
      </c>
    </row>
    <row r="52" spans="1:4" ht="15.75">
      <c r="A52" t="s">
        <v>205</v>
      </c>
      <c r="B52" s="8">
        <f>K43</f>
        <v>28.91272189349112</v>
      </c>
      <c r="C52" t="s">
        <v>24</v>
      </c>
      <c r="D52" t="s">
        <v>206</v>
      </c>
    </row>
    <row r="53" ht="15.75">
      <c r="A53" t="s">
        <v>273</v>
      </c>
    </row>
    <row r="54" spans="1:3" ht="18.75">
      <c r="A54" t="s">
        <v>65</v>
      </c>
      <c r="B54">
        <v>7.7</v>
      </c>
      <c r="C54" t="s">
        <v>23</v>
      </c>
    </row>
    <row r="55" spans="1:3" ht="18.75">
      <c r="A55" t="s">
        <v>271</v>
      </c>
      <c r="B55">
        <v>10</v>
      </c>
      <c r="C55" t="s">
        <v>92</v>
      </c>
    </row>
    <row r="57" ht="15.75">
      <c r="A57" t="s">
        <v>274</v>
      </c>
    </row>
    <row r="58" spans="1:8" ht="18.75">
      <c r="A58" t="s">
        <v>54</v>
      </c>
      <c r="B58" t="s">
        <v>56</v>
      </c>
      <c r="D58" t="s">
        <v>55</v>
      </c>
      <c r="E58" t="s">
        <v>123</v>
      </c>
      <c r="F58" s="3" t="s">
        <v>55</v>
      </c>
      <c r="G58" s="8">
        <f>I41</f>
        <v>2.2132383081430147</v>
      </c>
      <c r="H58" t="s">
        <v>15</v>
      </c>
    </row>
    <row r="60" spans="1:6" ht="18.75">
      <c r="A60" t="s">
        <v>118</v>
      </c>
      <c r="B60" s="3" t="s">
        <v>52</v>
      </c>
      <c r="C60" t="s">
        <v>119</v>
      </c>
      <c r="D60" s="7">
        <f>I41*(B54/1000-I42/1000)</f>
        <v>0.0024731955887148447</v>
      </c>
      <c r="E60" t="s">
        <v>15</v>
      </c>
      <c r="F60" s="3"/>
    </row>
    <row r="61" ht="15.75">
      <c r="A61" s="4"/>
    </row>
    <row r="64" ht="15.75">
      <c r="A64" t="s">
        <v>258</v>
      </c>
    </row>
    <row r="65" spans="1:4" ht="15.75">
      <c r="A65" s="5" t="s">
        <v>109</v>
      </c>
      <c r="B65" t="s">
        <v>134</v>
      </c>
      <c r="C65" s="8">
        <v>0</v>
      </c>
      <c r="D65" t="s">
        <v>111</v>
      </c>
    </row>
    <row r="66" spans="1:4" ht="15.75">
      <c r="A66" s="16" t="s">
        <v>108</v>
      </c>
      <c r="B66" t="s">
        <v>107</v>
      </c>
      <c r="C66" s="8">
        <f>B54-B32</f>
        <v>3.9000000000000004</v>
      </c>
      <c r="D66" t="s">
        <v>112</v>
      </c>
    </row>
    <row r="67" spans="1:4" ht="18.75">
      <c r="A67" s="5" t="s">
        <v>275</v>
      </c>
      <c r="B67" t="s">
        <v>276</v>
      </c>
      <c r="C67">
        <f>C65/C66</f>
        <v>0</v>
      </c>
      <c r="D67" t="s">
        <v>110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="110" zoomScaleNormal="110" zoomScalePageLayoutView="0" workbookViewId="0" topLeftCell="A1">
      <selection activeCell="A2" sqref="A2:A10"/>
    </sheetView>
  </sheetViews>
  <sheetFormatPr defaultColWidth="11.00390625" defaultRowHeight="15.75"/>
  <cols>
    <col min="1" max="1" width="18.50390625" style="0" customWidth="1"/>
    <col min="2" max="2" width="14.50390625" style="0" customWidth="1"/>
    <col min="3" max="3" width="18.625" style="0" customWidth="1"/>
    <col min="4" max="4" width="12.375" style="0" customWidth="1"/>
    <col min="5" max="5" width="16.00390625" style="0" customWidth="1"/>
    <col min="6" max="6" width="11.00390625" style="0" customWidth="1"/>
    <col min="7" max="7" width="11.875" style="0" customWidth="1"/>
    <col min="8" max="8" width="13.875" style="0" customWidth="1"/>
  </cols>
  <sheetData>
    <row r="1" spans="1:8" ht="15.75">
      <c r="A1" s="37" t="s">
        <v>305</v>
      </c>
      <c r="B1" s="37"/>
      <c r="C1" s="37"/>
      <c r="D1" s="37"/>
      <c r="E1" s="37"/>
      <c r="F1" s="37"/>
      <c r="G1" s="37"/>
      <c r="H1" s="37"/>
    </row>
    <row r="2" spans="1:8" ht="15.75">
      <c r="A2" s="37"/>
      <c r="B2" s="37"/>
      <c r="C2" s="37"/>
      <c r="D2" s="37"/>
      <c r="E2" s="37"/>
      <c r="F2" s="37"/>
      <c r="G2" s="37"/>
      <c r="H2" s="37"/>
    </row>
    <row r="3" spans="1:8" ht="15.75">
      <c r="A3" s="37"/>
      <c r="B3" s="37"/>
      <c r="C3" s="37"/>
      <c r="D3" s="37"/>
      <c r="E3" s="37"/>
      <c r="F3" s="37"/>
      <c r="G3" s="37"/>
      <c r="H3" s="37"/>
    </row>
    <row r="4" spans="1:8" ht="15.75">
      <c r="A4" s="37"/>
      <c r="B4" s="37"/>
      <c r="C4" s="37"/>
      <c r="D4" s="37"/>
      <c r="E4" s="37"/>
      <c r="F4" s="37"/>
      <c r="G4" s="37"/>
      <c r="H4" s="37"/>
    </row>
    <row r="5" spans="1:8" ht="15.75">
      <c r="A5" s="37"/>
      <c r="B5" s="37"/>
      <c r="C5" s="37"/>
      <c r="D5" s="37"/>
      <c r="E5" s="37"/>
      <c r="F5" s="37"/>
      <c r="G5" s="37"/>
      <c r="H5" s="37"/>
    </row>
    <row r="6" spans="1:8" ht="15.75">
      <c r="A6" s="37"/>
      <c r="B6" s="37"/>
      <c r="C6" s="37"/>
      <c r="D6" s="37"/>
      <c r="E6" s="37"/>
      <c r="F6" s="37"/>
      <c r="G6" s="37"/>
      <c r="H6" s="37"/>
    </row>
    <row r="7" spans="1:8" ht="15.75">
      <c r="A7" s="37"/>
      <c r="B7" s="37"/>
      <c r="C7" s="37"/>
      <c r="D7" s="37"/>
      <c r="E7" s="37"/>
      <c r="F7" s="37"/>
      <c r="G7" s="37"/>
      <c r="H7" s="37"/>
    </row>
    <row r="8" spans="1:8" ht="15.75">
      <c r="A8" s="37"/>
      <c r="B8" s="37"/>
      <c r="C8" s="37"/>
      <c r="D8" s="37"/>
      <c r="E8" s="37"/>
      <c r="F8" s="37"/>
      <c r="G8" s="37"/>
      <c r="H8" s="37"/>
    </row>
    <row r="9" spans="1:8" ht="15.75">
      <c r="A9" s="37"/>
      <c r="B9" s="37"/>
      <c r="C9" s="37"/>
      <c r="D9" s="37"/>
      <c r="E9" s="37"/>
      <c r="F9" s="37"/>
      <c r="G9" s="37"/>
      <c r="H9" s="37"/>
    </row>
    <row r="10" spans="1:8" ht="15.75">
      <c r="A10" s="37"/>
      <c r="B10" s="37"/>
      <c r="C10" s="37"/>
      <c r="D10" s="37"/>
      <c r="E10" s="37"/>
      <c r="F10" s="37"/>
      <c r="G10" s="37"/>
      <c r="H10" s="37"/>
    </row>
    <row r="11" spans="1:8" ht="15.75">
      <c r="A11" s="37" t="s">
        <v>314</v>
      </c>
      <c r="B11" s="37"/>
      <c r="C11" s="37"/>
      <c r="D11" s="37"/>
      <c r="E11" s="37"/>
      <c r="F11" s="37"/>
      <c r="G11" s="37"/>
      <c r="H11" s="37"/>
    </row>
    <row r="12" spans="1:8" ht="15.75">
      <c r="A12" s="37"/>
      <c r="B12" s="37"/>
      <c r="C12" s="37"/>
      <c r="D12" s="37"/>
      <c r="E12" s="37"/>
      <c r="F12" s="37"/>
      <c r="G12" s="37"/>
      <c r="H12" s="37"/>
    </row>
    <row r="13" spans="1:8" ht="15.75">
      <c r="A13" s="40" t="s">
        <v>5</v>
      </c>
      <c r="B13" s="40"/>
      <c r="C13" s="40"/>
      <c r="D13" s="40"/>
      <c r="E13" s="40"/>
      <c r="F13" s="40" t="s">
        <v>8</v>
      </c>
      <c r="G13" s="40"/>
      <c r="H13" s="40"/>
    </row>
    <row r="14" spans="1:10" ht="19.5">
      <c r="A14" t="s">
        <v>36</v>
      </c>
      <c r="B14">
        <v>4000</v>
      </c>
      <c r="C14" t="s">
        <v>34</v>
      </c>
      <c r="D14" s="8">
        <f>B14/3600</f>
        <v>1.1111111111111112</v>
      </c>
      <c r="E14" t="s">
        <v>76</v>
      </c>
      <c r="F14" t="s">
        <v>37</v>
      </c>
      <c r="G14">
        <v>2500</v>
      </c>
      <c r="H14" t="s">
        <v>34</v>
      </c>
      <c r="I14" s="8">
        <f>G14/3600</f>
        <v>0.6944444444444444</v>
      </c>
      <c r="J14" t="s">
        <v>76</v>
      </c>
    </row>
    <row r="15" spans="1:7" ht="18.75">
      <c r="A15" t="s">
        <v>6</v>
      </c>
      <c r="B15" s="1">
        <v>0.5</v>
      </c>
      <c r="F15" t="s">
        <v>9</v>
      </c>
      <c r="G15" s="1">
        <v>0.3</v>
      </c>
    </row>
    <row r="16" spans="1:7" ht="18.75">
      <c r="A16" t="s">
        <v>7</v>
      </c>
      <c r="B16" s="3" t="s">
        <v>156</v>
      </c>
      <c r="F16" t="s">
        <v>10</v>
      </c>
      <c r="G16" s="3" t="s">
        <v>209</v>
      </c>
    </row>
    <row r="17" spans="1:7" ht="18.75">
      <c r="A17" t="s">
        <v>11</v>
      </c>
      <c r="B17" t="s">
        <v>14</v>
      </c>
      <c r="F17" t="s">
        <v>12</v>
      </c>
      <c r="G17" t="s">
        <v>14</v>
      </c>
    </row>
    <row r="21" ht="15.75">
      <c r="A21" t="s">
        <v>86</v>
      </c>
    </row>
    <row r="22" spans="1:5" ht="18.75">
      <c r="A22" t="s">
        <v>199</v>
      </c>
      <c r="D22" t="s">
        <v>77</v>
      </c>
      <c r="E22" t="s">
        <v>136</v>
      </c>
    </row>
    <row r="23" spans="1:4" ht="18.75">
      <c r="A23" t="s">
        <v>200</v>
      </c>
      <c r="D23" t="s">
        <v>313</v>
      </c>
    </row>
    <row r="24" spans="1:4" ht="18.75">
      <c r="A24" t="s">
        <v>201</v>
      </c>
      <c r="D24" t="s">
        <v>87</v>
      </c>
    </row>
    <row r="26" ht="15.75">
      <c r="A26" t="s">
        <v>315</v>
      </c>
    </row>
    <row r="29" ht="15.75">
      <c r="A29" t="s">
        <v>115</v>
      </c>
    </row>
    <row r="30" spans="1:10" ht="19.5">
      <c r="A30" t="s">
        <v>11</v>
      </c>
      <c r="B30">
        <v>0.807</v>
      </c>
      <c r="C30" t="s">
        <v>16</v>
      </c>
      <c r="D30" s="5" t="s">
        <v>35</v>
      </c>
      <c r="F30" s="3" t="s">
        <v>38</v>
      </c>
      <c r="G30" t="s">
        <v>39</v>
      </c>
      <c r="H30" s="8">
        <f>B14/3600/B30</f>
        <v>1.3768415255404103</v>
      </c>
      <c r="I30" t="s">
        <v>15</v>
      </c>
      <c r="J30" t="s">
        <v>15</v>
      </c>
    </row>
    <row r="31" spans="1:10" ht="19.5">
      <c r="A31" t="s">
        <v>12</v>
      </c>
      <c r="B31">
        <v>0.852</v>
      </c>
      <c r="C31" t="s">
        <v>16</v>
      </c>
      <c r="D31" s="5" t="s">
        <v>35</v>
      </c>
      <c r="F31" s="3" t="s">
        <v>41</v>
      </c>
      <c r="G31" t="s">
        <v>40</v>
      </c>
      <c r="H31" s="8">
        <f>G14/3600/B31</f>
        <v>0.815075639019301</v>
      </c>
      <c r="I31" t="s">
        <v>15</v>
      </c>
      <c r="J31" t="s">
        <v>15</v>
      </c>
    </row>
    <row r="33" spans="1:3" ht="18.75">
      <c r="A33" s="3" t="s">
        <v>38</v>
      </c>
      <c r="B33" s="18">
        <f>H30</f>
        <v>1.3768415255404103</v>
      </c>
      <c r="C33" t="s">
        <v>15</v>
      </c>
    </row>
    <row r="34" spans="1:3" ht="18.75">
      <c r="A34" s="3" t="s">
        <v>41</v>
      </c>
      <c r="B34" s="18">
        <f>H31</f>
        <v>0.815075639019301</v>
      </c>
      <c r="C34" t="s">
        <v>15</v>
      </c>
    </row>
    <row r="36" ht="15.75">
      <c r="A36" t="s">
        <v>44</v>
      </c>
    </row>
    <row r="37" spans="1:3" ht="18.75">
      <c r="A37" t="s">
        <v>18</v>
      </c>
      <c r="B37">
        <v>3.8</v>
      </c>
      <c r="C37" t="s">
        <v>23</v>
      </c>
    </row>
    <row r="38" spans="1:3" ht="18.75">
      <c r="A38" t="s">
        <v>19</v>
      </c>
      <c r="B38">
        <v>5.8</v>
      </c>
      <c r="C38" t="s">
        <v>23</v>
      </c>
    </row>
    <row r="39" ht="15.75">
      <c r="A39" t="s">
        <v>45</v>
      </c>
    </row>
    <row r="40" spans="1:11" ht="18.75">
      <c r="A40" t="s">
        <v>21</v>
      </c>
      <c r="B40">
        <v>19.8</v>
      </c>
      <c r="C40" t="s">
        <v>24</v>
      </c>
      <c r="E40" s="10" t="s">
        <v>60</v>
      </c>
      <c r="F40" s="11"/>
      <c r="G40" s="11"/>
      <c r="H40" s="11"/>
      <c r="I40" s="11"/>
      <c r="J40" s="11"/>
      <c r="K40" s="12"/>
    </row>
    <row r="41" spans="1:11" ht="18.75">
      <c r="A41" t="s">
        <v>22</v>
      </c>
      <c r="B41">
        <v>40</v>
      </c>
      <c r="C41" t="s">
        <v>24</v>
      </c>
      <c r="E41" s="13" t="s">
        <v>210</v>
      </c>
      <c r="F41" s="14"/>
      <c r="G41" s="14">
        <f>1.01*10+B37/1000*(2500+1.805*10)</f>
        <v>19.668590000000002</v>
      </c>
      <c r="H41" s="14" t="s">
        <v>24</v>
      </c>
      <c r="I41" s="14" t="s">
        <v>62</v>
      </c>
      <c r="J41" s="14"/>
      <c r="K41" s="15"/>
    </row>
    <row r="43" ht="15.75">
      <c r="A43" t="s">
        <v>47</v>
      </c>
    </row>
    <row r="44" ht="15.75">
      <c r="A44" t="s">
        <v>29</v>
      </c>
    </row>
    <row r="46" spans="1:10" ht="18.75">
      <c r="A46" t="s">
        <v>25</v>
      </c>
      <c r="D46" t="s">
        <v>28</v>
      </c>
      <c r="G46" t="s">
        <v>43</v>
      </c>
      <c r="I46" s="8">
        <f>H30+H31</f>
        <v>2.1919171645597113</v>
      </c>
      <c r="J46" t="s">
        <v>15</v>
      </c>
    </row>
    <row r="47" spans="1:12" ht="18.75">
      <c r="A47" s="4" t="s">
        <v>27</v>
      </c>
      <c r="D47" t="s">
        <v>30</v>
      </c>
      <c r="G47" t="s">
        <v>32</v>
      </c>
      <c r="I47" s="8">
        <f>(B37*H30+H31*B38)/I46</f>
        <v>4.54371025711916</v>
      </c>
      <c r="J47" t="s">
        <v>23</v>
      </c>
      <c r="K47" s="19">
        <f>I47</f>
        <v>4.54371025711916</v>
      </c>
      <c r="L47" t="s">
        <v>23</v>
      </c>
    </row>
    <row r="48" spans="1:12" ht="18.75">
      <c r="A48" t="s">
        <v>26</v>
      </c>
      <c r="D48" t="s">
        <v>31</v>
      </c>
      <c r="G48" s="4" t="s">
        <v>33</v>
      </c>
      <c r="I48" s="8">
        <f>(B33*B40+B34*B41)/I46</f>
        <v>27.31147359690351</v>
      </c>
      <c r="J48" t="s">
        <v>24</v>
      </c>
      <c r="K48" s="19">
        <f>I48</f>
        <v>27.31147359690351</v>
      </c>
      <c r="L48" t="s">
        <v>24</v>
      </c>
    </row>
    <row r="51" ht="18.75">
      <c r="A51" t="s">
        <v>46</v>
      </c>
    </row>
    <row r="52" spans="1:2" ht="18.75">
      <c r="A52" t="s">
        <v>77</v>
      </c>
      <c r="B52" t="s">
        <v>202</v>
      </c>
    </row>
    <row r="53" spans="1:2" ht="18.75">
      <c r="A53" t="s">
        <v>136</v>
      </c>
      <c r="B53" s="45">
        <v>0.43</v>
      </c>
    </row>
    <row r="54" ht="15.75">
      <c r="B54" s="1"/>
    </row>
    <row r="55" spans="1:3" ht="15.75">
      <c r="A55" t="s">
        <v>203</v>
      </c>
      <c r="B55" s="25" t="s">
        <v>211</v>
      </c>
      <c r="C55" s="23"/>
    </row>
    <row r="57" ht="18.75">
      <c r="A57" t="s">
        <v>215</v>
      </c>
    </row>
    <row r="58" spans="1:3" ht="15.75">
      <c r="A58" t="s">
        <v>212</v>
      </c>
      <c r="B58" s="8"/>
      <c r="C58" t="s">
        <v>213</v>
      </c>
    </row>
    <row r="59" ht="15.75">
      <c r="A59" t="s">
        <v>214</v>
      </c>
    </row>
    <row r="60" spans="1:3" ht="18.75">
      <c r="A60" t="s">
        <v>65</v>
      </c>
      <c r="B60">
        <v>8.7</v>
      </c>
      <c r="C60" t="s">
        <v>23</v>
      </c>
    </row>
    <row r="61" spans="1:2" ht="18.75">
      <c r="A61" t="s">
        <v>59</v>
      </c>
      <c r="B61">
        <v>38</v>
      </c>
    </row>
    <row r="62" ht="15.75">
      <c r="A62" t="s">
        <v>217</v>
      </c>
    </row>
    <row r="64" spans="1:8" ht="18.75">
      <c r="A64" t="s">
        <v>54</v>
      </c>
      <c r="B64" t="s">
        <v>56</v>
      </c>
      <c r="D64" t="s">
        <v>55</v>
      </c>
      <c r="E64" t="s">
        <v>123</v>
      </c>
      <c r="F64" s="3" t="s">
        <v>55</v>
      </c>
      <c r="G64" s="8">
        <f>I46</f>
        <v>2.1919171645597113</v>
      </c>
      <c r="H64" t="s">
        <v>15</v>
      </c>
    </row>
    <row r="66" spans="1:5" ht="30" customHeight="1">
      <c r="A66" t="s">
        <v>118</v>
      </c>
      <c r="B66" s="3" t="s">
        <v>52</v>
      </c>
      <c r="C66" t="s">
        <v>119</v>
      </c>
      <c r="D66" s="7">
        <f>I46*(B60/1000-I47/1000)</f>
        <v>0.009110242828303982</v>
      </c>
      <c r="E66" t="s">
        <v>15</v>
      </c>
    </row>
    <row r="67" ht="18.75">
      <c r="A67" s="4" t="s">
        <v>218</v>
      </c>
    </row>
    <row r="69" spans="1:10" ht="15.75">
      <c r="A69" s="95" t="s">
        <v>133</v>
      </c>
      <c r="B69" s="95"/>
      <c r="C69" s="95"/>
      <c r="D69" s="95"/>
      <c r="E69" s="95"/>
      <c r="F69" s="95"/>
      <c r="G69" s="95"/>
      <c r="H69" s="95"/>
      <c r="I69" s="95"/>
      <c r="J69" s="95"/>
    </row>
    <row r="70" spans="1:10" ht="18.75">
      <c r="A70" s="26"/>
      <c r="B70" s="26"/>
      <c r="C70" s="46" t="s">
        <v>219</v>
      </c>
      <c r="D70" s="26">
        <v>2689.6</v>
      </c>
      <c r="E70" s="26" t="s">
        <v>24</v>
      </c>
      <c r="F70" s="26"/>
      <c r="G70" s="26"/>
      <c r="H70" s="26"/>
      <c r="I70" s="26"/>
      <c r="J70" s="26"/>
    </row>
    <row r="71" spans="1:3" ht="18.75">
      <c r="A71" t="s">
        <v>134</v>
      </c>
      <c r="B71" t="s">
        <v>220</v>
      </c>
      <c r="C71" s="8">
        <f>D66/G64*D70</f>
        <v>11.178756892452306</v>
      </c>
    </row>
    <row r="75" ht="15.75">
      <c r="A75" t="s">
        <v>207</v>
      </c>
    </row>
    <row r="76" ht="15.75">
      <c r="A76" t="s">
        <v>208</v>
      </c>
    </row>
    <row r="78" ht="15.75">
      <c r="A78" t="s">
        <v>258</v>
      </c>
    </row>
    <row r="79" spans="1:4" ht="18.75">
      <c r="A79" s="5" t="s">
        <v>109</v>
      </c>
      <c r="B79" t="s">
        <v>277</v>
      </c>
      <c r="C79" s="8">
        <f>C71</f>
        <v>11.178756892452306</v>
      </c>
      <c r="D79" t="s">
        <v>111</v>
      </c>
    </row>
    <row r="80" spans="1:4" ht="17.25">
      <c r="A80" s="16" t="s">
        <v>108</v>
      </c>
      <c r="B80" t="s">
        <v>278</v>
      </c>
      <c r="C80" s="8">
        <f>B60-I47</f>
        <v>4.15628974288084</v>
      </c>
      <c r="D80" t="s">
        <v>112</v>
      </c>
    </row>
    <row r="81" spans="1:4" ht="18.75">
      <c r="A81" s="5" t="s">
        <v>275</v>
      </c>
      <c r="B81" t="s">
        <v>276</v>
      </c>
      <c r="C81">
        <f>C79/C80</f>
        <v>2.6896</v>
      </c>
      <c r="D81" t="s">
        <v>110</v>
      </c>
    </row>
  </sheetData>
  <sheetProtection/>
  <mergeCells count="1">
    <mergeCell ref="A69:J69"/>
  </mergeCells>
  <printOptions/>
  <pageMargins left="0.75" right="0.75" top="1" bottom="1" header="0.5" footer="0.5"/>
  <pageSetup fitToHeight="0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 1</dc:creator>
  <cp:keywords/>
  <dc:description/>
  <cp:lastModifiedBy>User</cp:lastModifiedBy>
  <cp:lastPrinted>2018-11-22T10:07:12Z</cp:lastPrinted>
  <dcterms:created xsi:type="dcterms:W3CDTF">2017-11-26T01:38:23Z</dcterms:created>
  <dcterms:modified xsi:type="dcterms:W3CDTF">2019-11-26T18:31:51Z</dcterms:modified>
  <cp:category/>
  <cp:version/>
  <cp:contentType/>
  <cp:contentStatus/>
</cp:coreProperties>
</file>